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0370" windowHeight="12810" activeTab="1"/>
  </bookViews>
  <sheets>
    <sheet name="AB2876 &amp; PUF Data set file size" sheetId="1" r:id="rId1"/>
    <sheet name="Full SAS Data set file size" sheetId="2" r:id="rId2"/>
  </sheets>
  <calcPr calcId="145621"/>
</workbook>
</file>

<file path=xl/calcChain.xml><?xml version="1.0" encoding="utf-8"?>
<calcChain xmlns="http://schemas.openxmlformats.org/spreadsheetml/2006/main">
  <c r="F13" i="2" l="1"/>
  <c r="B41" i="2" l="1"/>
  <c r="B40" i="2"/>
  <c r="B39" i="2"/>
  <c r="B38" i="2"/>
  <c r="B37" i="2"/>
  <c r="B36" i="2"/>
  <c r="B35" i="2"/>
  <c r="G34" i="2"/>
  <c r="F34" i="2"/>
  <c r="B34" i="2"/>
  <c r="G33" i="2"/>
  <c r="F33" i="2"/>
  <c r="E33" i="2"/>
  <c r="B33" i="2"/>
  <c r="G32" i="2"/>
  <c r="F32" i="2"/>
  <c r="E32" i="2"/>
  <c r="B32" i="2"/>
  <c r="G31" i="2"/>
  <c r="F31" i="2"/>
  <c r="E31" i="2"/>
  <c r="B31" i="2"/>
  <c r="G30" i="2"/>
  <c r="F30" i="2"/>
  <c r="E30" i="2"/>
  <c r="B30" i="2"/>
  <c r="G29" i="2"/>
  <c r="F29" i="2"/>
  <c r="E29" i="2"/>
  <c r="B29" i="2"/>
  <c r="G28" i="2"/>
  <c r="F28" i="2"/>
  <c r="E28" i="2"/>
  <c r="B28" i="2"/>
  <c r="G27" i="2"/>
  <c r="F27" i="2"/>
  <c r="E27" i="2"/>
  <c r="B27" i="2"/>
  <c r="G26" i="2"/>
  <c r="F26" i="2"/>
  <c r="E26" i="2"/>
  <c r="B26" i="2"/>
  <c r="G25" i="2"/>
  <c r="F25" i="2"/>
  <c r="E25" i="2"/>
  <c r="B25" i="2"/>
  <c r="G24" i="2"/>
  <c r="F24" i="2"/>
  <c r="E24" i="2"/>
  <c r="B24" i="2"/>
  <c r="G23" i="2"/>
  <c r="F23" i="2"/>
  <c r="E23" i="2"/>
  <c r="B23" i="2"/>
  <c r="G22" i="2"/>
  <c r="F22" i="2"/>
  <c r="E22" i="2"/>
  <c r="B22" i="2"/>
  <c r="G21" i="2"/>
  <c r="F21" i="2"/>
  <c r="E21" i="2"/>
  <c r="B21" i="2"/>
  <c r="G20" i="2"/>
  <c r="F20" i="2"/>
  <c r="E20" i="2"/>
  <c r="B20" i="2"/>
  <c r="J19" i="2"/>
  <c r="I19" i="2"/>
  <c r="H19" i="2"/>
  <c r="G19" i="2"/>
  <c r="F19" i="2"/>
  <c r="E19" i="2"/>
  <c r="D19" i="2"/>
  <c r="C19" i="2"/>
  <c r="B19" i="2"/>
  <c r="J18" i="2"/>
  <c r="I18" i="2"/>
  <c r="H18" i="2"/>
  <c r="G18" i="2"/>
  <c r="F18" i="2"/>
  <c r="E18" i="2"/>
  <c r="D18" i="2"/>
  <c r="C18" i="2"/>
  <c r="B18" i="2"/>
  <c r="J17" i="2"/>
  <c r="I17" i="2"/>
  <c r="H17" i="2"/>
  <c r="G17" i="2"/>
  <c r="F17" i="2"/>
  <c r="E17" i="2"/>
  <c r="D17" i="2"/>
  <c r="C17" i="2"/>
  <c r="B17" i="2"/>
  <c r="J16" i="2"/>
  <c r="I16" i="2"/>
  <c r="H16" i="2"/>
  <c r="G16" i="2"/>
  <c r="F16" i="2"/>
  <c r="E16" i="2"/>
  <c r="D16" i="2"/>
  <c r="C16" i="2"/>
  <c r="B16" i="2"/>
  <c r="J15" i="2"/>
  <c r="I15" i="2"/>
  <c r="H15" i="2"/>
  <c r="G15" i="2"/>
  <c r="F15" i="2"/>
  <c r="E15" i="2"/>
  <c r="D15" i="2"/>
  <c r="C15" i="2"/>
  <c r="B15" i="2"/>
  <c r="J14" i="2"/>
  <c r="I14" i="2"/>
  <c r="H14" i="2"/>
  <c r="G14" i="2"/>
  <c r="F14" i="2"/>
  <c r="E14" i="2"/>
  <c r="D14" i="2"/>
  <c r="C14" i="2"/>
  <c r="B14" i="2"/>
  <c r="J13" i="2"/>
  <c r="I13" i="2"/>
  <c r="H13" i="2"/>
  <c r="G13" i="2"/>
  <c r="E13" i="2"/>
  <c r="D13" i="2"/>
  <c r="C13" i="2"/>
  <c r="B13" i="2"/>
  <c r="E12" i="2"/>
  <c r="D12" i="2"/>
  <c r="C12" i="2"/>
  <c r="B12" i="2"/>
  <c r="D11" i="2"/>
  <c r="C11" i="2"/>
  <c r="B11" i="2"/>
  <c r="D10" i="2"/>
  <c r="C10" i="2"/>
  <c r="B10" i="2"/>
</calcChain>
</file>

<file path=xl/sharedStrings.xml><?xml version="1.0" encoding="utf-8"?>
<sst xmlns="http://schemas.openxmlformats.org/spreadsheetml/2006/main" count="36" uniqueCount="23">
  <si>
    <t>YEAR</t>
  </si>
  <si>
    <t>HOSPITAL INPATIENT (PDD)</t>
  </si>
  <si>
    <t>EMERGENCY DEPARTMENT (ED)</t>
  </si>
  <si>
    <t>AMBULATORY SURGERY (AS)</t>
  </si>
  <si>
    <t>Public Use File</t>
  </si>
  <si>
    <t>OSHPD Patient-Level SAS Data - Size of Files by Type of File (PDD, ED, AS) and Year</t>
  </si>
  <si>
    <t>AB2876 Model Data Set</t>
  </si>
  <si>
    <t>File Sizes by Year</t>
  </si>
  <si>
    <t>OSHPD Patient-Level Data Sets</t>
  </si>
  <si>
    <t>The total file size is listed in megabytes (MB).</t>
  </si>
  <si>
    <t>The following table lists the sizes of OSHPD patient-level files*:</t>
  </si>
  <si>
    <t>*Although OSHPD releases multiple versions of the AB2876 Model Data Set, the file size reported above is for the statewide "Healthcare Operations" SAS file.</t>
  </si>
  <si>
    <t>TBD</t>
  </si>
  <si>
    <t>v. 06/02/2015</t>
  </si>
  <si>
    <t>v. 05/21/2015</t>
  </si>
  <si>
    <r>
      <t xml:space="preserve">The following table lists the sizes of </t>
    </r>
    <r>
      <rPr>
        <b/>
        <i/>
        <sz val="14"/>
        <color indexed="8"/>
        <rFont val="Calibri"/>
        <family val="2"/>
      </rPr>
      <t>full</t>
    </r>
    <r>
      <rPr>
        <sz val="14"/>
        <color indexed="8"/>
        <rFont val="Calibri"/>
        <family val="2"/>
      </rPr>
      <t xml:space="preserve"> OSHPD patient-level SAS data sets. Files provided to requestors are generally a subset of this data.</t>
    </r>
  </si>
  <si>
    <t>The total file size is listed in megabytes (MB). A blank field indicates the file is not yet available. A grayed out field indicates the file was not available in that year.</t>
  </si>
  <si>
    <t>Linked Birth</t>
  </si>
  <si>
    <t>Linked Death Version A</t>
  </si>
  <si>
    <t>Linked Death Version B</t>
  </si>
  <si>
    <t>Linked Death PDD</t>
  </si>
  <si>
    <t>Linked Death ED</t>
  </si>
  <si>
    <t>Linked Death 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</si>
</sst>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6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i/>
      <sz val="14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 applyAlignment="1"/>
    <xf numFmtId="0" fontId="4" fillId="0" borderId="0" xfId="0" applyFont="1" applyBorder="1"/>
    <xf numFmtId="0" fontId="0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Continuous"/>
    </xf>
    <xf numFmtId="0" fontId="0" fillId="0" borderId="0" xfId="0" applyFont="1" applyBorder="1"/>
    <xf numFmtId="0" fontId="6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Continuous"/>
    </xf>
    <xf numFmtId="0" fontId="4" fillId="0" borderId="0" xfId="0" applyFont="1"/>
    <xf numFmtId="0" fontId="4" fillId="0" borderId="0" xfId="0" applyFont="1" applyBorder="1" applyAlignment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4" fontId="1" fillId="0" borderId="3" xfId="1" applyNumberFormat="1" applyFont="1" applyBorder="1" applyAlignment="1">
      <alignment horizontal="right"/>
    </xf>
    <xf numFmtId="164" fontId="10" fillId="0" borderId="9" xfId="1" applyNumberFormat="1" applyFont="1" applyBorder="1" applyAlignment="1">
      <alignment horizontal="right"/>
    </xf>
    <xf numFmtId="164" fontId="10" fillId="0" borderId="9" xfId="1" applyNumberFormat="1" applyFont="1" applyFill="1" applyBorder="1" applyAlignment="1">
      <alignment horizontal="right"/>
    </xf>
    <xf numFmtId="164" fontId="10" fillId="0" borderId="10" xfId="1" applyNumberFormat="1" applyFont="1" applyBorder="1" applyAlignment="1">
      <alignment horizontal="right"/>
    </xf>
    <xf numFmtId="164" fontId="10" fillId="0" borderId="10" xfId="1" applyNumberFormat="1" applyFont="1" applyFill="1" applyBorder="1" applyAlignment="1">
      <alignment horizontal="right"/>
    </xf>
    <xf numFmtId="164" fontId="10" fillId="0" borderId="2" xfId="1" applyNumberFormat="1" applyFont="1" applyBorder="1" applyAlignment="1">
      <alignment horizontal="right"/>
    </xf>
    <xf numFmtId="164" fontId="10" fillId="0" borderId="1" xfId="1" applyNumberFormat="1" applyFont="1" applyBorder="1" applyAlignment="1">
      <alignment horizontal="right"/>
    </xf>
    <xf numFmtId="164" fontId="10" fillId="0" borderId="1" xfId="1" applyNumberFormat="1" applyFont="1" applyFill="1" applyBorder="1" applyAlignment="1">
      <alignment horizontal="right"/>
    </xf>
    <xf numFmtId="164" fontId="2" fillId="0" borderId="0" xfId="1" applyNumberFormat="1" applyFont="1" applyAlignment="1">
      <alignment horizontal="right"/>
    </xf>
    <xf numFmtId="3" fontId="2" fillId="0" borderId="0" xfId="0" applyNumberFormat="1" applyFont="1"/>
    <xf numFmtId="3" fontId="6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164" fontId="4" fillId="0" borderId="0" xfId="1" applyNumberFormat="1" applyFont="1" applyAlignment="1">
      <alignment horizontal="right"/>
    </xf>
    <xf numFmtId="3" fontId="4" fillId="0" borderId="0" xfId="0" applyNumberFormat="1" applyFont="1"/>
    <xf numFmtId="3" fontId="2" fillId="0" borderId="0" xfId="0" applyNumberFormat="1" applyFont="1" applyAlignment="1">
      <alignment horizontal="right"/>
    </xf>
    <xf numFmtId="3" fontId="0" fillId="0" borderId="0" xfId="0" applyNumberFormat="1" applyFont="1" applyAlignment="1">
      <alignment horizontal="right"/>
    </xf>
    <xf numFmtId="164" fontId="0" fillId="0" borderId="0" xfId="1" applyNumberFormat="1" applyFont="1" applyAlignment="1">
      <alignment horizontal="right"/>
    </xf>
    <xf numFmtId="3" fontId="0" fillId="0" borderId="0" xfId="0" applyNumberFormat="1" applyFont="1"/>
    <xf numFmtId="0" fontId="5" fillId="0" borderId="7" xfId="0" applyFont="1" applyBorder="1" applyAlignment="1">
      <alignment horizontal="right" wrapText="1"/>
    </xf>
    <xf numFmtId="3" fontId="5" fillId="0" borderId="11" xfId="0" applyNumberFormat="1" applyFont="1" applyBorder="1" applyAlignment="1">
      <alignment horizontal="right" wrapText="1"/>
    </xf>
    <xf numFmtId="3" fontId="5" fillId="0" borderId="12" xfId="0" applyNumberFormat="1" applyFont="1" applyBorder="1" applyAlignment="1">
      <alignment horizontal="right" wrapText="1"/>
    </xf>
    <xf numFmtId="164" fontId="5" fillId="0" borderId="11" xfId="1" applyNumberFormat="1" applyFont="1" applyBorder="1" applyAlignment="1">
      <alignment horizontal="right" wrapText="1"/>
    </xf>
    <xf numFmtId="164" fontId="5" fillId="0" borderId="12" xfId="1" applyNumberFormat="1" applyFont="1" applyBorder="1" applyAlignment="1">
      <alignment horizontal="right" wrapText="1"/>
    </xf>
    <xf numFmtId="3" fontId="1" fillId="0" borderId="10" xfId="0" applyNumberFormat="1" applyFont="1" applyBorder="1" applyAlignment="1">
      <alignment horizontal="right"/>
    </xf>
    <xf numFmtId="164" fontId="5" fillId="0" borderId="10" xfId="1" applyNumberFormat="1" applyFont="1" applyBorder="1" applyAlignment="1">
      <alignment horizontal="right"/>
    </xf>
    <xf numFmtId="3" fontId="1" fillId="0" borderId="1" xfId="1" applyNumberFormat="1" applyFont="1" applyBorder="1" applyAlignment="1">
      <alignment horizontal="right"/>
    </xf>
    <xf numFmtId="3" fontId="0" fillId="0" borderId="1" xfId="1" applyNumberFormat="1" applyFont="1" applyFill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3" fontId="0" fillId="0" borderId="1" xfId="0" applyNumberFormat="1" applyFont="1" applyBorder="1"/>
    <xf numFmtId="3" fontId="0" fillId="0" borderId="1" xfId="1" applyNumberFormat="1" applyFont="1" applyBorder="1" applyAlignment="1">
      <alignment horizontal="right"/>
    </xf>
    <xf numFmtId="3" fontId="0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3" fontId="2" fillId="0" borderId="1" xfId="0" applyNumberFormat="1" applyFont="1" applyBorder="1"/>
    <xf numFmtId="3" fontId="2" fillId="2" borderId="14" xfId="0" applyNumberFormat="1" applyFont="1" applyFill="1" applyBorder="1" applyAlignment="1">
      <alignment horizontal="right"/>
    </xf>
    <xf numFmtId="3" fontId="2" fillId="2" borderId="15" xfId="0" applyNumberFormat="1" applyFont="1" applyFill="1" applyBorder="1" applyAlignment="1">
      <alignment horizontal="right"/>
    </xf>
    <xf numFmtId="164" fontId="2" fillId="0" borderId="16" xfId="1" applyNumberFormat="1" applyFont="1" applyBorder="1" applyAlignment="1">
      <alignment horizontal="right"/>
    </xf>
    <xf numFmtId="3" fontId="2" fillId="2" borderId="18" xfId="0" applyNumberFormat="1" applyFont="1" applyFill="1" applyBorder="1" applyAlignment="1">
      <alignment horizontal="right"/>
    </xf>
    <xf numFmtId="3" fontId="2" fillId="2" borderId="19" xfId="0" applyNumberFormat="1" applyFont="1" applyFill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3" fontId="2" fillId="2" borderId="0" xfId="0" applyNumberFormat="1" applyFont="1" applyFill="1" applyBorder="1" applyAlignment="1">
      <alignment horizontal="right"/>
    </xf>
    <xf numFmtId="164" fontId="2" fillId="2" borderId="15" xfId="1" applyNumberFormat="1" applyFont="1" applyFill="1" applyBorder="1" applyAlignment="1">
      <alignment horizontal="right"/>
    </xf>
    <xf numFmtId="164" fontId="2" fillId="2" borderId="0" xfId="1" applyNumberFormat="1" applyFont="1" applyFill="1" applyBorder="1" applyAlignment="1">
      <alignment horizontal="right"/>
    </xf>
    <xf numFmtId="164" fontId="2" fillId="2" borderId="17" xfId="1" applyNumberFormat="1" applyFont="1" applyFill="1" applyBorder="1" applyAlignment="1">
      <alignment horizontal="right"/>
    </xf>
    <xf numFmtId="3" fontId="2" fillId="2" borderId="20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164" fontId="2" fillId="2" borderId="3" xfId="1" applyNumberFormat="1" applyFont="1" applyFill="1" applyBorder="1" applyAlignment="1">
      <alignment horizontal="right"/>
    </xf>
    <xf numFmtId="3" fontId="5" fillId="0" borderId="10" xfId="0" applyNumberFormat="1" applyFont="1" applyBorder="1"/>
    <xf numFmtId="0" fontId="0" fillId="0" borderId="0" xfId="0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17" xfId="0" applyNumberFormat="1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19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21" xfId="0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workbookViewId="0">
      <selection sqref="A1:G1"/>
    </sheetView>
  </sheetViews>
  <sheetFormatPr defaultColWidth="9.140625" defaultRowHeight="12.75" x14ac:dyDescent="0.2"/>
  <cols>
    <col min="1" max="1" width="10.28515625" style="2" customWidth="1"/>
    <col min="2" max="2" width="27.140625" style="1" customWidth="1"/>
    <col min="3" max="3" width="18" style="1" customWidth="1"/>
    <col min="4" max="4" width="27.140625" style="1" customWidth="1"/>
    <col min="5" max="5" width="18" style="1" customWidth="1"/>
    <col min="6" max="6" width="27.140625" style="1" customWidth="1"/>
    <col min="7" max="7" width="18" style="1" customWidth="1"/>
    <col min="8" max="8" width="10" style="1" bestFit="1" customWidth="1"/>
    <col min="9" max="16384" width="9.140625" style="1"/>
  </cols>
  <sheetData>
    <row r="1" spans="1:7" ht="20.45" customHeight="1" x14ac:dyDescent="0.3">
      <c r="A1" s="72" t="s">
        <v>7</v>
      </c>
      <c r="B1" s="72"/>
      <c r="C1" s="72"/>
      <c r="D1" s="72"/>
      <c r="E1" s="72"/>
      <c r="F1" s="72"/>
      <c r="G1" s="72"/>
    </row>
    <row r="2" spans="1:7" ht="20.45" customHeight="1" x14ac:dyDescent="0.3">
      <c r="A2" s="72" t="s">
        <v>8</v>
      </c>
      <c r="B2" s="72"/>
      <c r="C2" s="72"/>
      <c r="D2" s="72"/>
      <c r="E2" s="72"/>
      <c r="F2" s="72"/>
      <c r="G2" s="72"/>
    </row>
    <row r="3" spans="1:7" ht="20.45" customHeight="1" x14ac:dyDescent="0.3">
      <c r="A3" s="71" t="s">
        <v>13</v>
      </c>
      <c r="B3" s="71"/>
      <c r="C3" s="71"/>
      <c r="D3" s="71"/>
      <c r="E3" s="71"/>
      <c r="F3" s="71"/>
      <c r="G3" s="71"/>
    </row>
    <row r="4" spans="1:7" ht="20.45" customHeight="1" x14ac:dyDescent="0.3">
      <c r="A4" s="17"/>
      <c r="B4" s="17"/>
      <c r="C4" s="17"/>
      <c r="D4" s="17"/>
      <c r="E4" s="17"/>
      <c r="F4" s="17"/>
      <c r="G4" s="17"/>
    </row>
    <row r="5" spans="1:7" ht="20.45" x14ac:dyDescent="0.35">
      <c r="A5" s="9"/>
      <c r="B5" s="9"/>
      <c r="C5" s="9"/>
      <c r="D5" s="9"/>
      <c r="E5" s="9"/>
      <c r="F5" s="9"/>
      <c r="G5" s="9"/>
    </row>
    <row r="6" spans="1:7" s="11" customFormat="1" ht="18" x14ac:dyDescent="0.35">
      <c r="A6" s="12" t="s">
        <v>10</v>
      </c>
      <c r="B6" s="4"/>
    </row>
    <row r="7" spans="1:7" s="11" customFormat="1" ht="18" x14ac:dyDescent="0.35">
      <c r="A7" s="12" t="s">
        <v>9</v>
      </c>
      <c r="B7" s="4"/>
    </row>
    <row r="9" spans="1:7" s="5" customFormat="1" ht="18" x14ac:dyDescent="0.35">
      <c r="A9" s="3" t="s">
        <v>5</v>
      </c>
    </row>
    <row r="10" spans="1:7" s="6" customFormat="1" ht="21.75" customHeight="1" x14ac:dyDescent="0.25">
      <c r="A10" s="69" t="s">
        <v>0</v>
      </c>
      <c r="B10" s="10" t="s">
        <v>1</v>
      </c>
      <c r="C10" s="7"/>
      <c r="D10" s="7" t="s">
        <v>2</v>
      </c>
      <c r="E10" s="7"/>
      <c r="F10" s="7" t="s">
        <v>3</v>
      </c>
      <c r="G10" s="7"/>
    </row>
    <row r="11" spans="1:7" s="6" customFormat="1" ht="15.75" thickBot="1" x14ac:dyDescent="0.3">
      <c r="A11" s="70"/>
      <c r="B11" s="13" t="s">
        <v>6</v>
      </c>
      <c r="C11" s="14" t="s">
        <v>4</v>
      </c>
      <c r="D11" s="14" t="s">
        <v>6</v>
      </c>
      <c r="E11" s="14" t="s">
        <v>4</v>
      </c>
      <c r="F11" s="14" t="s">
        <v>6</v>
      </c>
      <c r="G11" s="14" t="s">
        <v>4</v>
      </c>
    </row>
    <row r="12" spans="1:7" s="5" customFormat="1" ht="15" thickTop="1" x14ac:dyDescent="0.3">
      <c r="A12" s="15">
        <v>2014</v>
      </c>
      <c r="B12" s="18">
        <v>1078</v>
      </c>
      <c r="C12" s="20" t="s">
        <v>12</v>
      </c>
      <c r="D12" s="20">
        <v>1468</v>
      </c>
      <c r="E12" s="20" t="s">
        <v>12</v>
      </c>
      <c r="F12" s="20">
        <v>258</v>
      </c>
      <c r="G12" s="19" t="s">
        <v>12</v>
      </c>
    </row>
    <row r="13" spans="1:7" s="5" customFormat="1" ht="14.45" x14ac:dyDescent="0.3">
      <c r="A13" s="15">
        <v>2013</v>
      </c>
      <c r="B13" s="18">
        <v>1067</v>
      </c>
      <c r="C13" s="21">
        <v>995</v>
      </c>
      <c r="D13" s="22">
        <v>1244</v>
      </c>
      <c r="E13" s="22">
        <v>1039</v>
      </c>
      <c r="F13" s="22">
        <v>247</v>
      </c>
      <c r="G13" s="21">
        <v>209</v>
      </c>
    </row>
    <row r="14" spans="1:7" s="5" customFormat="1" ht="14.45" x14ac:dyDescent="0.3">
      <c r="A14" s="16">
        <v>2012</v>
      </c>
      <c r="B14" s="23">
        <v>1026</v>
      </c>
      <c r="C14" s="24">
        <v>829</v>
      </c>
      <c r="D14" s="25">
        <v>1203</v>
      </c>
      <c r="E14" s="25">
        <v>1042</v>
      </c>
      <c r="F14" s="25">
        <v>231</v>
      </c>
      <c r="G14" s="24">
        <v>201</v>
      </c>
    </row>
    <row r="15" spans="1:7" s="5" customFormat="1" ht="14.45" x14ac:dyDescent="0.3">
      <c r="A15" s="16">
        <v>2011</v>
      </c>
      <c r="B15" s="23">
        <v>1031</v>
      </c>
      <c r="C15" s="24">
        <v>982</v>
      </c>
      <c r="D15" s="24">
        <v>1140</v>
      </c>
      <c r="E15" s="24">
        <v>985</v>
      </c>
      <c r="F15" s="24">
        <v>242</v>
      </c>
      <c r="G15" s="24">
        <v>210</v>
      </c>
    </row>
    <row r="16" spans="1:7" s="5" customFormat="1" ht="14.45" x14ac:dyDescent="0.3">
      <c r="A16" s="16">
        <v>2010</v>
      </c>
      <c r="B16" s="23">
        <v>1036</v>
      </c>
      <c r="C16" s="24">
        <v>1191</v>
      </c>
      <c r="D16" s="24">
        <v>1053</v>
      </c>
      <c r="E16" s="25">
        <v>935</v>
      </c>
      <c r="F16" s="24">
        <v>244</v>
      </c>
      <c r="G16" s="24">
        <v>217</v>
      </c>
    </row>
    <row r="17" spans="1:7" s="5" customFormat="1" ht="14.45" x14ac:dyDescent="0.3">
      <c r="A17" s="8"/>
    </row>
    <row r="18" spans="1:7" s="5" customFormat="1" ht="14.45" x14ac:dyDescent="0.3">
      <c r="A18" s="67" t="s">
        <v>11</v>
      </c>
      <c r="B18" s="68"/>
      <c r="C18" s="68"/>
      <c r="D18" s="68"/>
      <c r="E18" s="68"/>
      <c r="F18" s="68"/>
      <c r="G18" s="68"/>
    </row>
    <row r="20" spans="1:7" ht="14.25" customHeight="1" x14ac:dyDescent="0.3"/>
    <row r="21" spans="1:7" ht="13.9" x14ac:dyDescent="0.3">
      <c r="B21" s="2"/>
    </row>
  </sheetData>
  <mergeCells count="5">
    <mergeCell ref="A18:G18"/>
    <mergeCell ref="A10:A11"/>
    <mergeCell ref="A3:G3"/>
    <mergeCell ref="A2:G2"/>
    <mergeCell ref="A1:G1"/>
  </mergeCells>
  <phoneticPr fontId="9" type="noConversion"/>
  <printOptions horizontalCentered="1"/>
  <pageMargins left="0.25" right="0.25" top="0.5" bottom="1" header="0.3" footer="0.3"/>
  <pageSetup scale="92" orientation="landscape" r:id="rId1"/>
  <headerFooter scaleWithDoc="0">
    <oddFooter>&amp;L&amp;"Arial,Regular"&amp;9Office of Statewide Health Planning and Development&amp;C&amp;"Arial,Regular"&amp;12&amp;P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zoomScaleNormal="100" workbookViewId="0">
      <selection activeCell="E12" sqref="E12"/>
    </sheetView>
  </sheetViews>
  <sheetFormatPr defaultRowHeight="15" x14ac:dyDescent="0.25"/>
  <cols>
    <col min="1" max="1" width="10.28515625" customWidth="1"/>
    <col min="2" max="2" width="27.140625" customWidth="1"/>
    <col min="3" max="3" width="28.28515625" bestFit="1" customWidth="1"/>
    <col min="4" max="4" width="27.140625" customWidth="1"/>
    <col min="5" max="5" width="11" bestFit="1" customWidth="1"/>
    <col min="6" max="7" width="13.7109375" bestFit="1" customWidth="1"/>
    <col min="8" max="8" width="12.140625" customWidth="1"/>
    <col min="9" max="10" width="12.42578125" customWidth="1"/>
  </cols>
  <sheetData>
    <row r="1" spans="1:10" ht="17.45" x14ac:dyDescent="0.3">
      <c r="A1" s="72" t="s">
        <v>7</v>
      </c>
      <c r="B1" s="72"/>
      <c r="C1" s="72"/>
      <c r="D1" s="72"/>
      <c r="E1" s="26"/>
      <c r="F1" s="26"/>
      <c r="G1" s="26"/>
      <c r="H1" s="27"/>
      <c r="I1" s="27"/>
      <c r="J1" s="27"/>
    </row>
    <row r="2" spans="1:10" ht="17.45" x14ac:dyDescent="0.3">
      <c r="A2" s="72" t="s">
        <v>8</v>
      </c>
      <c r="B2" s="72"/>
      <c r="C2" s="72"/>
      <c r="D2" s="72"/>
      <c r="E2" s="26"/>
      <c r="F2" s="26"/>
      <c r="G2" s="26"/>
      <c r="H2" s="27"/>
      <c r="I2" s="27"/>
      <c r="J2" s="27"/>
    </row>
    <row r="3" spans="1:10" ht="17.45" x14ac:dyDescent="0.3">
      <c r="A3" s="73" t="s">
        <v>14</v>
      </c>
      <c r="B3" s="73"/>
      <c r="C3" s="73"/>
      <c r="D3" s="73"/>
      <c r="E3" s="26"/>
      <c r="F3" s="26"/>
      <c r="G3" s="26"/>
      <c r="H3" s="27"/>
      <c r="I3" s="27"/>
      <c r="J3" s="27"/>
    </row>
    <row r="4" spans="1:10" ht="20.45" x14ac:dyDescent="0.35">
      <c r="A4" s="9"/>
      <c r="B4" s="28"/>
      <c r="C4" s="28"/>
      <c r="D4" s="28"/>
      <c r="E4" s="26"/>
      <c r="F4" s="26"/>
      <c r="G4" s="26"/>
      <c r="H4" s="27"/>
      <c r="I4" s="27"/>
      <c r="J4" s="27"/>
    </row>
    <row r="5" spans="1:10" ht="18" x14ac:dyDescent="0.35">
      <c r="A5" s="12" t="s">
        <v>15</v>
      </c>
      <c r="B5" s="29"/>
      <c r="C5" s="30"/>
      <c r="D5" s="30"/>
      <c r="E5" s="31"/>
      <c r="F5" s="31"/>
      <c r="G5" s="31"/>
      <c r="H5" s="32"/>
      <c r="I5" s="32"/>
      <c r="J5" s="32"/>
    </row>
    <row r="6" spans="1:10" ht="18" x14ac:dyDescent="0.35">
      <c r="A6" s="12" t="s">
        <v>16</v>
      </c>
      <c r="B6" s="29"/>
      <c r="C6" s="30"/>
      <c r="D6" s="30"/>
      <c r="E6" s="31"/>
      <c r="F6" s="31"/>
      <c r="G6" s="31"/>
      <c r="H6" s="32"/>
      <c r="I6" s="32"/>
      <c r="J6" s="32"/>
    </row>
    <row r="7" spans="1:10" ht="14.45" x14ac:dyDescent="0.3">
      <c r="A7" s="2"/>
      <c r="B7" s="33"/>
      <c r="C7" s="33"/>
      <c r="D7" s="33"/>
      <c r="E7" s="26"/>
      <c r="F7" s="26"/>
      <c r="G7" s="26"/>
      <c r="H7" s="27"/>
      <c r="I7" s="27"/>
      <c r="J7" s="27"/>
    </row>
    <row r="8" spans="1:10" ht="18" x14ac:dyDescent="0.35">
      <c r="A8" s="3" t="s">
        <v>5</v>
      </c>
      <c r="B8" s="34"/>
      <c r="C8" s="34"/>
      <c r="D8" s="34"/>
      <c r="E8" s="35"/>
      <c r="F8" s="35"/>
      <c r="G8" s="35"/>
      <c r="H8" s="36"/>
      <c r="I8" s="36"/>
      <c r="J8" s="36"/>
    </row>
    <row r="9" spans="1:10" ht="29.45" thickBot="1" x14ac:dyDescent="0.35">
      <c r="A9" s="37" t="s">
        <v>0</v>
      </c>
      <c r="B9" s="38" t="s">
        <v>1</v>
      </c>
      <c r="C9" s="39" t="s">
        <v>2</v>
      </c>
      <c r="D9" s="39" t="s">
        <v>3</v>
      </c>
      <c r="E9" s="40" t="s">
        <v>17</v>
      </c>
      <c r="F9" s="41" t="s">
        <v>18</v>
      </c>
      <c r="G9" s="41" t="s">
        <v>19</v>
      </c>
      <c r="H9" s="39" t="s">
        <v>20</v>
      </c>
      <c r="I9" s="39" t="s">
        <v>21</v>
      </c>
      <c r="J9" s="39" t="s">
        <v>22</v>
      </c>
    </row>
    <row r="10" spans="1:10" ht="14.45" x14ac:dyDescent="0.3">
      <c r="A10" s="16">
        <v>2014</v>
      </c>
      <c r="B10" s="42">
        <f>4336377/1024</f>
        <v>4234.7431640625</v>
      </c>
      <c r="C10" s="42">
        <f>7400049/1024</f>
        <v>7226.6103515625</v>
      </c>
      <c r="D10" s="42">
        <f>373601/1024</f>
        <v>364.8447265625</v>
      </c>
      <c r="E10" s="43"/>
      <c r="F10" s="43"/>
      <c r="G10" s="43"/>
      <c r="H10" s="66"/>
      <c r="I10" s="66"/>
      <c r="J10" s="66"/>
    </row>
    <row r="11" spans="1:10" ht="14.45" x14ac:dyDescent="0.3">
      <c r="A11" s="16">
        <v>2013</v>
      </c>
      <c r="B11" s="44">
        <f>4350785/1024</f>
        <v>4248.8134765625</v>
      </c>
      <c r="C11" s="45">
        <f>6974673/1024</f>
        <v>6811.2041015625</v>
      </c>
      <c r="D11" s="45">
        <f>358129/1024</f>
        <v>349.7353515625</v>
      </c>
      <c r="E11" s="46"/>
      <c r="F11" s="46"/>
      <c r="G11" s="46"/>
      <c r="H11" s="47"/>
      <c r="I11" s="47"/>
      <c r="J11" s="47"/>
    </row>
    <row r="12" spans="1:10" ht="14.45" x14ac:dyDescent="0.3">
      <c r="A12" s="16">
        <v>2012</v>
      </c>
      <c r="B12" s="48">
        <f>4447777/1024</f>
        <v>4343.5322265625</v>
      </c>
      <c r="C12" s="45">
        <f>6764401/1024</f>
        <v>6605.8603515625</v>
      </c>
      <c r="D12" s="45">
        <f>348321/1024</f>
        <v>340.1572265625</v>
      </c>
      <c r="E12" s="46">
        <f>1571857/1024</f>
        <v>1535.0166015625</v>
      </c>
      <c r="F12" s="46"/>
      <c r="G12" s="46"/>
      <c r="H12" s="47"/>
      <c r="I12" s="47"/>
      <c r="J12" s="47"/>
    </row>
    <row r="13" spans="1:10" ht="14.45" x14ac:dyDescent="0.3">
      <c r="A13" s="16">
        <v>2011</v>
      </c>
      <c r="B13" s="48">
        <f>4495169/1024</f>
        <v>4389.8134765625</v>
      </c>
      <c r="C13" s="48">
        <f>6474033/1024</f>
        <v>6322.2978515625</v>
      </c>
      <c r="D13" s="48">
        <f>366737/1024</f>
        <v>358.1416015625</v>
      </c>
      <c r="E13" s="46">
        <f>3550001/1024</f>
        <v>3466.7978515625</v>
      </c>
      <c r="F13" s="46">
        <f>218817/1024</f>
        <v>213.6884765625</v>
      </c>
      <c r="G13" s="46">
        <f>216657/1024</f>
        <v>211.5791015625</v>
      </c>
      <c r="H13" s="47">
        <f>453329/1024</f>
        <v>442.7041015625</v>
      </c>
      <c r="I13" s="47">
        <f>161601/1024</f>
        <v>157.8134765625</v>
      </c>
      <c r="J13" s="47">
        <f>31745/1024</f>
        <v>31.0009765625</v>
      </c>
    </row>
    <row r="14" spans="1:10" ht="14.45" x14ac:dyDescent="0.3">
      <c r="A14" s="16">
        <v>2010</v>
      </c>
      <c r="B14" s="48">
        <f>2157553/1024</f>
        <v>2106.9853515625</v>
      </c>
      <c r="C14" s="48">
        <f>6227505/1024</f>
        <v>6081.5478515625</v>
      </c>
      <c r="D14" s="48">
        <f>1160337/1024</f>
        <v>1133.1416015625</v>
      </c>
      <c r="E14" s="46">
        <f>1492497/1024</f>
        <v>1457.5166015625</v>
      </c>
      <c r="F14" s="46">
        <f>253425/1024</f>
        <v>247.4853515625</v>
      </c>
      <c r="G14" s="46">
        <f>251297/1024</f>
        <v>245.4072265625</v>
      </c>
      <c r="H14" s="47">
        <f>752593/1024</f>
        <v>734.9541015625</v>
      </c>
      <c r="I14" s="47">
        <f>330993/1024</f>
        <v>323.2353515625</v>
      </c>
      <c r="J14" s="47">
        <f>93713/1024</f>
        <v>91.5166015625</v>
      </c>
    </row>
    <row r="15" spans="1:10" ht="14.45" x14ac:dyDescent="0.3">
      <c r="A15" s="16">
        <v>2009</v>
      </c>
      <c r="B15" s="49">
        <f>2144433/1024</f>
        <v>2094.1728515625</v>
      </c>
      <c r="C15" s="49">
        <f>6073201/1024</f>
        <v>5930.8603515625</v>
      </c>
      <c r="D15" s="49">
        <f>1226273/1024</f>
        <v>1197.5322265625</v>
      </c>
      <c r="E15" s="46">
        <f>3690385/1024</f>
        <v>3603.8916015625</v>
      </c>
      <c r="F15" s="46">
        <f>243777/1024</f>
        <v>238.0634765625</v>
      </c>
      <c r="G15" s="46">
        <f>241809/1024</f>
        <v>236.1416015625</v>
      </c>
      <c r="H15" s="47">
        <f>861921/1024</f>
        <v>841.7197265625</v>
      </c>
      <c r="I15" s="47">
        <f>432497/1024</f>
        <v>422.3603515625</v>
      </c>
      <c r="J15" s="47">
        <f>137361/1024</f>
        <v>134.1416015625</v>
      </c>
    </row>
    <row r="16" spans="1:10" ht="14.45" x14ac:dyDescent="0.3">
      <c r="A16" s="16">
        <v>2008</v>
      </c>
      <c r="B16" s="49">
        <f>2092241/1024</f>
        <v>2043.2041015625</v>
      </c>
      <c r="C16" s="49">
        <f>5158065/1024</f>
        <v>5037.1728515625</v>
      </c>
      <c r="D16" s="49">
        <f>1342273/1024</f>
        <v>1310.8134765625</v>
      </c>
      <c r="E16" s="46">
        <f>3805921/1024</f>
        <v>3716.7197265625</v>
      </c>
      <c r="F16" s="46">
        <f>252641/1024</f>
        <v>246.7197265625</v>
      </c>
      <c r="G16" s="46">
        <f>250241/1024</f>
        <v>244.3759765625</v>
      </c>
      <c r="H16" s="47">
        <f>1006065/1024</f>
        <v>982.4853515625</v>
      </c>
      <c r="I16" s="47">
        <f>490497/1024</f>
        <v>479.0009765625</v>
      </c>
      <c r="J16" s="47">
        <f>186513/1024</f>
        <v>182.1416015625</v>
      </c>
    </row>
    <row r="17" spans="1:10" ht="14.45" x14ac:dyDescent="0.3">
      <c r="A17" s="16">
        <v>2007</v>
      </c>
      <c r="B17" s="50">
        <f>1664033/1024</f>
        <v>1625.0322265625</v>
      </c>
      <c r="C17" s="50">
        <f>5020737/1024</f>
        <v>4903.0634765625</v>
      </c>
      <c r="D17" s="50">
        <f>1411233/1024</f>
        <v>1378.1572265625</v>
      </c>
      <c r="E17" s="51">
        <f>3752289/1024</f>
        <v>3664.3447265625</v>
      </c>
      <c r="F17" s="51">
        <f>276177/1024</f>
        <v>269.7041015625</v>
      </c>
      <c r="G17" s="51">
        <f>273729/1024</f>
        <v>267.3134765625</v>
      </c>
      <c r="H17" s="52">
        <f>989153/1024</f>
        <v>965.9697265625</v>
      </c>
      <c r="I17" s="52">
        <f>465633/1024</f>
        <v>454.7197265625</v>
      </c>
      <c r="J17" s="52">
        <f>189489/1024</f>
        <v>185.0478515625</v>
      </c>
    </row>
    <row r="18" spans="1:10" ht="14.45" x14ac:dyDescent="0.3">
      <c r="A18" s="16">
        <v>2006</v>
      </c>
      <c r="B18" s="50">
        <f>1646577/1024</f>
        <v>1607.9853515625</v>
      </c>
      <c r="C18" s="50">
        <f>6200305/1024</f>
        <v>6054.9853515625</v>
      </c>
      <c r="D18" s="50">
        <f>1769249/1024</f>
        <v>1727.7822265625</v>
      </c>
      <c r="E18" s="51">
        <f>1502497/1024</f>
        <v>1467.2822265625</v>
      </c>
      <c r="F18" s="51">
        <f>281953/1024</f>
        <v>275.3447265625</v>
      </c>
      <c r="G18" s="51">
        <f>279345/1024</f>
        <v>272.7978515625</v>
      </c>
      <c r="H18" s="52">
        <f>995505/1024</f>
        <v>972.1728515625</v>
      </c>
      <c r="I18" s="52">
        <f>436721/1024</f>
        <v>426.4853515625</v>
      </c>
      <c r="J18" s="52">
        <f>174385/1024</f>
        <v>170.2978515625</v>
      </c>
    </row>
    <row r="19" spans="1:10" ht="14.45" x14ac:dyDescent="0.3">
      <c r="A19" s="16">
        <v>2005</v>
      </c>
      <c r="B19" s="50">
        <f>1632257/1024</f>
        <v>1594.0009765625</v>
      </c>
      <c r="C19" s="50">
        <f>6223089/1024</f>
        <v>6077.2353515625</v>
      </c>
      <c r="D19" s="50">
        <f>1717665/1024</f>
        <v>1677.4072265625</v>
      </c>
      <c r="E19" s="51">
        <f>1377697/1024</f>
        <v>1345.4072265625</v>
      </c>
      <c r="F19" s="51">
        <f>287873/1024</f>
        <v>281.1259765625</v>
      </c>
      <c r="G19" s="51">
        <f>285057/1024</f>
        <v>278.3759765625</v>
      </c>
      <c r="H19" s="52">
        <f>1002705/1024</f>
        <v>979.2041015625</v>
      </c>
      <c r="I19" s="52">
        <f>433153/1024</f>
        <v>423.0009765625</v>
      </c>
      <c r="J19" s="52">
        <f>176193/1024</f>
        <v>172.0634765625</v>
      </c>
    </row>
    <row r="20" spans="1:10" x14ac:dyDescent="0.25">
      <c r="A20" s="16">
        <v>2004</v>
      </c>
      <c r="B20" s="50">
        <f>1294609/1024</f>
        <v>1264.2666015625</v>
      </c>
      <c r="C20" s="53"/>
      <c r="D20" s="54"/>
      <c r="E20" s="51">
        <f>729617/1024</f>
        <v>712.5166015625</v>
      </c>
      <c r="F20" s="51">
        <f>284257/1024</f>
        <v>277.5947265625</v>
      </c>
      <c r="G20" s="55">
        <f>281185/1024</f>
        <v>274.5947265625</v>
      </c>
      <c r="H20" s="74"/>
      <c r="I20" s="75"/>
      <c r="J20" s="76"/>
    </row>
    <row r="21" spans="1:10" x14ac:dyDescent="0.25">
      <c r="A21" s="16">
        <v>2003</v>
      </c>
      <c r="B21" s="50">
        <f>1292385/1024</f>
        <v>1262.0947265625</v>
      </c>
      <c r="C21" s="56"/>
      <c r="D21" s="57"/>
      <c r="E21" s="51">
        <f>739025/1024</f>
        <v>721.7041015625</v>
      </c>
      <c r="F21" s="51">
        <f>294977/1024</f>
        <v>288.0634765625</v>
      </c>
      <c r="G21" s="55">
        <f>291889/1024</f>
        <v>285.0478515625</v>
      </c>
      <c r="H21" s="77"/>
      <c r="I21" s="78"/>
      <c r="J21" s="79"/>
    </row>
    <row r="22" spans="1:10" x14ac:dyDescent="0.25">
      <c r="A22" s="16">
        <v>2002</v>
      </c>
      <c r="B22" s="50">
        <f>3298017/1024</f>
        <v>3220.7197265625</v>
      </c>
      <c r="C22" s="56"/>
      <c r="D22" s="57"/>
      <c r="E22" s="51">
        <f>739929/1024</f>
        <v>722.5869140625</v>
      </c>
      <c r="F22" s="51">
        <f>268209/1024</f>
        <v>261.9228515625</v>
      </c>
      <c r="G22" s="55">
        <f>265553/1024</f>
        <v>259.3291015625</v>
      </c>
      <c r="H22" s="77"/>
      <c r="I22" s="78"/>
      <c r="J22" s="79"/>
    </row>
    <row r="23" spans="1:10" x14ac:dyDescent="0.25">
      <c r="A23" s="16">
        <v>2001</v>
      </c>
      <c r="B23" s="50">
        <f>3091297/1024</f>
        <v>3018.8447265625</v>
      </c>
      <c r="C23" s="56"/>
      <c r="D23" s="57"/>
      <c r="E23" s="51">
        <f>711505/1024</f>
        <v>694.8291015625</v>
      </c>
      <c r="F23" s="51">
        <f>267841/1024</f>
        <v>261.5634765625</v>
      </c>
      <c r="G23" s="55">
        <f>264769/1024</f>
        <v>258.5634765625</v>
      </c>
      <c r="H23" s="77"/>
      <c r="I23" s="78"/>
      <c r="J23" s="79"/>
    </row>
    <row r="24" spans="1:10" x14ac:dyDescent="0.25">
      <c r="A24" s="16">
        <v>2000</v>
      </c>
      <c r="B24" s="50">
        <f>2908129/1024</f>
        <v>2839.9697265625</v>
      </c>
      <c r="C24" s="56"/>
      <c r="D24" s="57"/>
      <c r="E24" s="51">
        <f>725329/1024</f>
        <v>708.3291015625</v>
      </c>
      <c r="F24" s="51">
        <f>262769/1024</f>
        <v>256.6103515625</v>
      </c>
      <c r="G24" s="55">
        <f>259857/1024</f>
        <v>253.7666015625</v>
      </c>
      <c r="H24" s="77"/>
      <c r="I24" s="78"/>
      <c r="J24" s="79"/>
    </row>
    <row r="25" spans="1:10" x14ac:dyDescent="0.25">
      <c r="A25" s="16">
        <v>1999</v>
      </c>
      <c r="B25" s="50">
        <f>2876753/1024</f>
        <v>2809.3291015625</v>
      </c>
      <c r="C25" s="56"/>
      <c r="D25" s="57"/>
      <c r="E25" s="51">
        <f>707201/1024</f>
        <v>690.6259765625</v>
      </c>
      <c r="F25" s="51">
        <f>263041/1024</f>
        <v>256.8759765625</v>
      </c>
      <c r="G25" s="55">
        <f>260433/1024</f>
        <v>254.3291015625</v>
      </c>
      <c r="H25" s="77"/>
      <c r="I25" s="78"/>
      <c r="J25" s="79"/>
    </row>
    <row r="26" spans="1:10" x14ac:dyDescent="0.25">
      <c r="A26" s="16">
        <v>1998</v>
      </c>
      <c r="B26" s="50">
        <f>2838449/1024</f>
        <v>2771.9228515625</v>
      </c>
      <c r="C26" s="56"/>
      <c r="D26" s="57"/>
      <c r="E26" s="51">
        <f>714305/1024</f>
        <v>697.5634765625</v>
      </c>
      <c r="F26" s="51">
        <f>257617/1024</f>
        <v>251.5791015625</v>
      </c>
      <c r="G26" s="55">
        <f>254577/1024</f>
        <v>248.6103515625</v>
      </c>
      <c r="H26" s="77"/>
      <c r="I26" s="78"/>
      <c r="J26" s="79"/>
    </row>
    <row r="27" spans="1:10" x14ac:dyDescent="0.25">
      <c r="A27" s="16">
        <v>1997</v>
      </c>
      <c r="B27" s="50">
        <f>2808193/1024</f>
        <v>2742.3759765625</v>
      </c>
      <c r="C27" s="56"/>
      <c r="D27" s="57"/>
      <c r="E27" s="51">
        <f>725377/1024</f>
        <v>708.3759765625</v>
      </c>
      <c r="F27" s="51">
        <f>254273/1024</f>
        <v>248.3134765625</v>
      </c>
      <c r="G27" s="55">
        <f>251969/1024</f>
        <v>246.0634765625</v>
      </c>
      <c r="H27" s="77"/>
      <c r="I27" s="78"/>
      <c r="J27" s="79"/>
    </row>
    <row r="28" spans="1:10" x14ac:dyDescent="0.25">
      <c r="A28" s="16">
        <v>1996</v>
      </c>
      <c r="B28" s="50">
        <f>2767393/1024</f>
        <v>2702.5322265625</v>
      </c>
      <c r="C28" s="56"/>
      <c r="D28" s="57"/>
      <c r="E28" s="51">
        <f>739953/1024</f>
        <v>722.6103515625</v>
      </c>
      <c r="F28" s="51">
        <f>247713/1024</f>
        <v>241.9072265625</v>
      </c>
      <c r="G28" s="55">
        <f>247297/1024</f>
        <v>241.5009765625</v>
      </c>
      <c r="H28" s="77"/>
      <c r="I28" s="78"/>
      <c r="J28" s="79"/>
    </row>
    <row r="29" spans="1:10" x14ac:dyDescent="0.25">
      <c r="A29" s="16">
        <v>1995</v>
      </c>
      <c r="B29" s="50">
        <f>2765217/1024</f>
        <v>2700.4072265625</v>
      </c>
      <c r="C29" s="56"/>
      <c r="D29" s="57"/>
      <c r="E29" s="51">
        <f>757041/1024</f>
        <v>739.2978515625</v>
      </c>
      <c r="F29" s="51">
        <f>103073/1024</f>
        <v>100.6572265625</v>
      </c>
      <c r="G29" s="55">
        <f>103073/1024</f>
        <v>100.6572265625</v>
      </c>
      <c r="H29" s="77"/>
      <c r="I29" s="78"/>
      <c r="J29" s="79"/>
    </row>
    <row r="30" spans="1:10" x14ac:dyDescent="0.25">
      <c r="A30" s="16">
        <v>1994</v>
      </c>
      <c r="B30" s="50">
        <f>2636737/1024</f>
        <v>2574.9384765625</v>
      </c>
      <c r="C30" s="56"/>
      <c r="D30" s="57"/>
      <c r="E30" s="51">
        <f>789841/1024</f>
        <v>771.3291015625</v>
      </c>
      <c r="F30" s="51">
        <f>294345/1024</f>
        <v>287.4462890625</v>
      </c>
      <c r="G30" s="55">
        <f>248849/1024</f>
        <v>243.0166015625</v>
      </c>
      <c r="H30" s="77"/>
      <c r="I30" s="78"/>
      <c r="J30" s="79"/>
    </row>
    <row r="31" spans="1:10" x14ac:dyDescent="0.25">
      <c r="A31" s="16">
        <v>1993</v>
      </c>
      <c r="B31" s="50">
        <f>2665217/1024</f>
        <v>2602.7509765625</v>
      </c>
      <c r="C31" s="56"/>
      <c r="D31" s="57"/>
      <c r="E31" s="51">
        <f>788369/1024</f>
        <v>769.8916015625</v>
      </c>
      <c r="F31" s="51">
        <f>249393/1024</f>
        <v>243.5478515625</v>
      </c>
      <c r="G31" s="55">
        <f>248705/1024</f>
        <v>242.8759765625</v>
      </c>
      <c r="H31" s="77"/>
      <c r="I31" s="78"/>
      <c r="J31" s="79"/>
    </row>
    <row r="32" spans="1:10" x14ac:dyDescent="0.25">
      <c r="A32" s="16">
        <v>1992</v>
      </c>
      <c r="B32" s="50">
        <f>2699697/1024</f>
        <v>2636.4228515625</v>
      </c>
      <c r="C32" s="56"/>
      <c r="D32" s="57"/>
      <c r="E32" s="51">
        <f>810001/1024</f>
        <v>791.0166015625</v>
      </c>
      <c r="F32" s="51">
        <f>244593/1024</f>
        <v>238.8603515625</v>
      </c>
      <c r="G32" s="55">
        <f>243425/1024</f>
        <v>237.7197265625</v>
      </c>
      <c r="H32" s="77"/>
      <c r="I32" s="78"/>
      <c r="J32" s="79"/>
    </row>
    <row r="33" spans="1:10" x14ac:dyDescent="0.25">
      <c r="A33" s="16">
        <v>1991</v>
      </c>
      <c r="B33" s="50">
        <f>2709153/1024</f>
        <v>2645.6572265625</v>
      </c>
      <c r="C33" s="56"/>
      <c r="D33" s="57"/>
      <c r="E33" s="58">
        <f>814241/1024</f>
        <v>795.1572265625</v>
      </c>
      <c r="F33" s="51">
        <f>242465/1024</f>
        <v>236.7822265625</v>
      </c>
      <c r="G33" s="55">
        <f>241633/1024</f>
        <v>235.9697265625</v>
      </c>
      <c r="H33" s="77"/>
      <c r="I33" s="78"/>
      <c r="J33" s="79"/>
    </row>
    <row r="34" spans="1:10" x14ac:dyDescent="0.25">
      <c r="A34" s="16">
        <v>1990</v>
      </c>
      <c r="B34" s="50">
        <f>2582145/1024</f>
        <v>2521.6259765625</v>
      </c>
      <c r="C34" s="56"/>
      <c r="D34" s="59"/>
      <c r="E34" s="60"/>
      <c r="F34" s="51">
        <f>115649/1024</f>
        <v>112.9384765625</v>
      </c>
      <c r="G34" s="55">
        <f>115073/1024</f>
        <v>112.3759765625</v>
      </c>
      <c r="H34" s="77"/>
      <c r="I34" s="78"/>
      <c r="J34" s="79"/>
    </row>
    <row r="35" spans="1:10" x14ac:dyDescent="0.25">
      <c r="A35" s="16">
        <v>1989</v>
      </c>
      <c r="B35" s="50">
        <f>939953/1024</f>
        <v>917.9228515625</v>
      </c>
      <c r="C35" s="56"/>
      <c r="D35" s="59"/>
      <c r="E35" s="61"/>
      <c r="F35" s="62"/>
      <c r="G35" s="62"/>
      <c r="H35" s="78"/>
      <c r="I35" s="78"/>
      <c r="J35" s="79"/>
    </row>
    <row r="36" spans="1:10" x14ac:dyDescent="0.25">
      <c r="A36" s="16">
        <v>1988</v>
      </c>
      <c r="B36" s="50">
        <f>929089/1024</f>
        <v>907.3134765625</v>
      </c>
      <c r="C36" s="56"/>
      <c r="D36" s="59"/>
      <c r="E36" s="61"/>
      <c r="F36" s="61"/>
      <c r="G36" s="61"/>
      <c r="H36" s="78"/>
      <c r="I36" s="78"/>
      <c r="J36" s="79"/>
    </row>
    <row r="37" spans="1:10" x14ac:dyDescent="0.25">
      <c r="A37" s="16">
        <v>1987</v>
      </c>
      <c r="B37" s="50">
        <f>914033/1024</f>
        <v>892.6103515625</v>
      </c>
      <c r="C37" s="56"/>
      <c r="D37" s="59"/>
      <c r="E37" s="61"/>
      <c r="F37" s="61"/>
      <c r="G37" s="61"/>
      <c r="H37" s="78"/>
      <c r="I37" s="78"/>
      <c r="J37" s="79"/>
    </row>
    <row r="38" spans="1:10" x14ac:dyDescent="0.25">
      <c r="A38" s="16">
        <v>1986</v>
      </c>
      <c r="B38" s="50">
        <f>902577/1024</f>
        <v>881.4228515625</v>
      </c>
      <c r="C38" s="56"/>
      <c r="D38" s="59"/>
      <c r="E38" s="61"/>
      <c r="F38" s="61"/>
      <c r="G38" s="61"/>
      <c r="H38" s="78"/>
      <c r="I38" s="78"/>
      <c r="J38" s="79"/>
    </row>
    <row r="39" spans="1:10" x14ac:dyDescent="0.25">
      <c r="A39" s="16">
        <v>1985</v>
      </c>
      <c r="B39" s="50">
        <f>900897/1024</f>
        <v>879.7822265625</v>
      </c>
      <c r="C39" s="56"/>
      <c r="D39" s="59"/>
      <c r="E39" s="61"/>
      <c r="F39" s="61"/>
      <c r="G39" s="61"/>
      <c r="H39" s="78"/>
      <c r="I39" s="78"/>
      <c r="J39" s="79"/>
    </row>
    <row r="40" spans="1:10" x14ac:dyDescent="0.25">
      <c r="A40" s="16">
        <v>1984</v>
      </c>
      <c r="B40" s="50">
        <f>904705/1024</f>
        <v>883.5009765625</v>
      </c>
      <c r="C40" s="56"/>
      <c r="D40" s="59"/>
      <c r="E40" s="61"/>
      <c r="F40" s="61"/>
      <c r="G40" s="61"/>
      <c r="H40" s="78"/>
      <c r="I40" s="78"/>
      <c r="J40" s="79"/>
    </row>
    <row r="41" spans="1:10" x14ac:dyDescent="0.25">
      <c r="A41" s="16">
        <v>1983</v>
      </c>
      <c r="B41" s="50">
        <f>903617/1024</f>
        <v>882.4384765625</v>
      </c>
      <c r="C41" s="63"/>
      <c r="D41" s="64"/>
      <c r="E41" s="65"/>
      <c r="F41" s="65"/>
      <c r="G41" s="65"/>
      <c r="H41" s="80"/>
      <c r="I41" s="80"/>
      <c r="J41" s="81"/>
    </row>
  </sheetData>
  <mergeCells count="4">
    <mergeCell ref="A1:D1"/>
    <mergeCell ref="A2:D2"/>
    <mergeCell ref="A3:D3"/>
    <mergeCell ref="H20:J41"/>
  </mergeCells>
  <pageMargins left="0.25" right="0.25" top="0.5" bottom="1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80AACB3AE96048B8932DF70DBBED37" ma:contentTypeVersion="2" ma:contentTypeDescription="Create a new document." ma:contentTypeScope="" ma:versionID="b0f0faab0d976373e668ba2761509f30">
  <xsd:schema xmlns:xsd="http://www.w3.org/2001/XMLSchema" xmlns:xs="http://www.w3.org/2001/XMLSchema" xmlns:p="http://schemas.microsoft.com/office/2006/metadata/properties" xmlns:ns2="9ffecb9b-e0a7-41cf-8e64-35f7593c444d" targetNamespace="http://schemas.microsoft.com/office/2006/metadata/properties" ma:root="true" ma:fieldsID="5c501f2ab499dfb4f5dc1e60e8e64b98" ns2:_="">
    <xsd:import namespace="9ffecb9b-e0a7-41cf-8e64-35f7593c444d"/>
    <xsd:element name="properties">
      <xsd:complexType>
        <xsd:sequence>
          <xsd:element name="documentManagement">
            <xsd:complexType>
              <xsd:all>
                <xsd:element ref="ns2:Inpati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ecb9b-e0a7-41cf-8e64-35f7593c444d" elementFormDefault="qualified">
    <xsd:import namespace="http://schemas.microsoft.com/office/2006/documentManagement/types"/>
    <xsd:import namespace="http://schemas.microsoft.com/office/infopath/2007/PartnerControls"/>
    <xsd:element name="Inpatient" ma:index="8" nillable="true" ma:displayName="Inpatient" ma:default="Test #1" ma:format="Dropdown" ma:internalName="Inpatient">
      <xsd:simpleType>
        <xsd:union memberTypes="dms:Text">
          <xsd:simpleType>
            <xsd:restriction base="dms:Choice">
              <xsd:enumeration value="Test #1"/>
              <xsd:enumeration value="Test #2"/>
              <xsd:enumeration value="Test #3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patient xmlns="9ffecb9b-e0a7-41cf-8e64-35f7593c444d">Test #1</Inpatient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33F265-8184-4276-AF3A-F8DA2BCDF6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fecb9b-e0a7-41cf-8e64-35f7593c44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11AAA9-2CD6-4E0A-93B4-0083B69B233A}">
  <ds:schemaRefs>
    <ds:schemaRef ds:uri="http://purl.org/dc/terms/"/>
    <ds:schemaRef ds:uri="http://www.w3.org/XML/1998/namespace"/>
    <ds:schemaRef ds:uri="9ffecb9b-e0a7-41cf-8e64-35f7593c444d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F6C5ED6-8011-46A0-A924-2D1951C172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AB2876 &amp; PUF Data set file size</vt:lpstr>
      <vt:lpstr>Full SAS Data set file size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File Sizes</dc:title>
  <dc:subject>Table of file sizes of OSHPD patient-level data sets</dc:subject>
  <dc:creator>OSHPD/HID/HIRC/DAU</dc:creator>
  <cp:keywords>Patient-level, discharge, inpatient, emergency department, ambulatory surgery, AB2876, IPA, public, file size</cp:keywords>
  <cp:lastModifiedBy>Jackson, Janee@OSHPD</cp:lastModifiedBy>
  <cp:lastPrinted>2014-04-11T18:23:04Z</cp:lastPrinted>
  <dcterms:created xsi:type="dcterms:W3CDTF">2012-04-26T20:12:36Z</dcterms:created>
  <dcterms:modified xsi:type="dcterms:W3CDTF">2015-07-17T18:42:16Z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0x010100CB80AACB3AE96048B8932DF70DBBED37</vt:lpwstr>
  </property>
</Properties>
</file>