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8_{692DCF84-86EE-4253-97E0-7D83A237A587}" xr6:coauthVersionLast="47" xr6:coauthVersionMax="47" xr10:uidLastSave="{00000000-0000-0000-0000-000000000000}"/>
  <bookViews>
    <workbookView xWindow="-110" yWindow="-110" windowWidth="19420" windowHeight="10300" tabRatio="913" xr2:uid="{00000000-000D-0000-FFFF-FFFF00000000}"/>
  </bookViews>
  <sheets>
    <sheet name="Index" sheetId="4" r:id="rId1"/>
    <sheet name="Notes" sheetId="95" r:id="rId2"/>
    <sheet name="THCE_Statewide" sheetId="5" r:id="rId3"/>
    <sheet name="THCE_Comm" sheetId="71" r:id="rId4"/>
    <sheet name="THCE_MCal" sheetId="70" r:id="rId5"/>
    <sheet name="THCE_Mcare" sheetId="69" r:id="rId6"/>
    <sheet name="THCE_ACP" sheetId="9" r:id="rId7"/>
    <sheet name="THCE_Other" sheetId="10" r:id="rId8"/>
    <sheet name="TME_StatewideServCat" sheetId="91" r:id="rId9"/>
    <sheet name="TME_Comm_ServCat" sheetId="52" r:id="rId10"/>
    <sheet name="TME_Mcare_ServCat" sheetId="81" r:id="rId11"/>
    <sheet name="TME_Region" sheetId="92" r:id="rId12"/>
    <sheet name="TME_Submitter" sheetId="9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5" l="1"/>
  <c r="C8" i="5" l="1"/>
  <c r="B8" i="5"/>
  <c r="D23" i="70"/>
  <c r="C23" i="70"/>
  <c r="E9" i="70"/>
  <c r="I43" i="81" l="1"/>
  <c r="H43" i="81"/>
  <c r="J43" i="81" s="1"/>
  <c r="I42" i="81"/>
  <c r="H42" i="81"/>
  <c r="I41" i="81"/>
  <c r="H41" i="81"/>
  <c r="I40" i="81"/>
  <c r="H40" i="81"/>
  <c r="J39" i="81"/>
  <c r="I39" i="81"/>
  <c r="H39" i="81"/>
  <c r="I38" i="81"/>
  <c r="J38" i="81" s="1"/>
  <c r="H38" i="81"/>
  <c r="I37" i="81"/>
  <c r="J37" i="81" s="1"/>
  <c r="H37" i="81"/>
  <c r="I36" i="81"/>
  <c r="H36" i="81"/>
  <c r="I35" i="81"/>
  <c r="J35" i="81" s="1"/>
  <c r="H35" i="81"/>
  <c r="I34" i="81"/>
  <c r="H34" i="81"/>
  <c r="I33" i="81"/>
  <c r="J33" i="81" s="1"/>
  <c r="H33" i="81"/>
  <c r="I32" i="81"/>
  <c r="H32" i="81"/>
  <c r="I31" i="81"/>
  <c r="J31" i="81" s="1"/>
  <c r="H31" i="81"/>
  <c r="I30" i="81"/>
  <c r="H30" i="81"/>
  <c r="I29" i="81"/>
  <c r="H29" i="81"/>
  <c r="I28" i="81"/>
  <c r="H28" i="81"/>
  <c r="I23" i="81"/>
  <c r="H23" i="81"/>
  <c r="I22" i="81"/>
  <c r="H22" i="81"/>
  <c r="I21" i="81"/>
  <c r="H21" i="81"/>
  <c r="J20" i="81"/>
  <c r="J19" i="81"/>
  <c r="J18" i="81"/>
  <c r="J17" i="81"/>
  <c r="J16" i="81"/>
  <c r="J15" i="81"/>
  <c r="J14" i="81"/>
  <c r="J13" i="81"/>
  <c r="J12" i="81"/>
  <c r="J11" i="81"/>
  <c r="J10" i="81"/>
  <c r="J9" i="81"/>
  <c r="J8" i="81"/>
  <c r="J41" i="81" l="1"/>
  <c r="J42" i="81"/>
  <c r="J40" i="81"/>
  <c r="J36" i="81"/>
  <c r="J34" i="81"/>
  <c r="J30" i="81"/>
  <c r="J32" i="81"/>
  <c r="J29" i="81"/>
  <c r="J22" i="81"/>
  <c r="J23" i="81"/>
  <c r="J21" i="81"/>
  <c r="J28" i="81"/>
  <c r="C40" i="81" l="1"/>
  <c r="B40" i="81"/>
  <c r="C39" i="81"/>
  <c r="B39" i="81"/>
  <c r="C38" i="81"/>
  <c r="B38" i="81"/>
  <c r="C37" i="81"/>
  <c r="B37" i="81"/>
  <c r="C36" i="81"/>
  <c r="B36" i="81"/>
  <c r="C35" i="81"/>
  <c r="B35" i="81"/>
  <c r="C34" i="81"/>
  <c r="B34" i="81"/>
  <c r="C33" i="81"/>
  <c r="B33" i="81"/>
  <c r="C32" i="81"/>
  <c r="B32" i="81"/>
  <c r="C31" i="81"/>
  <c r="B31" i="81"/>
  <c r="C30" i="81"/>
  <c r="B30" i="81"/>
  <c r="C29" i="81"/>
  <c r="B29" i="81"/>
  <c r="C28" i="81"/>
  <c r="B28" i="81"/>
  <c r="D24" i="10" l="1"/>
  <c r="C24" i="10"/>
  <c r="D23" i="10"/>
  <c r="C23" i="10"/>
  <c r="D20" i="71" l="1"/>
  <c r="C20" i="71"/>
  <c r="D19" i="71"/>
  <c r="C19" i="71"/>
  <c r="H15" i="5" l="1"/>
  <c r="D21" i="71" l="1"/>
  <c r="C10" i="5" l="1"/>
  <c r="B10" i="5"/>
  <c r="C7" i="5"/>
  <c r="C36" i="5" s="1"/>
  <c r="B7" i="5"/>
  <c r="C16" i="9"/>
  <c r="D14" i="9"/>
  <c r="C14" i="9"/>
  <c r="C25" i="5"/>
  <c r="B25" i="5"/>
  <c r="C23" i="5"/>
  <c r="C37" i="5" s="1"/>
  <c r="B23" i="5"/>
  <c r="B37" i="5" s="1"/>
  <c r="C22" i="5"/>
  <c r="B22" i="5"/>
  <c r="C28" i="52"/>
  <c r="C29" i="52"/>
  <c r="C30" i="52"/>
  <c r="C31" i="52"/>
  <c r="C32" i="52"/>
  <c r="C33" i="52"/>
  <c r="C34" i="52"/>
  <c r="C35" i="52"/>
  <c r="C36" i="52"/>
  <c r="C37" i="52"/>
  <c r="C38" i="52"/>
  <c r="C39" i="52"/>
  <c r="C40" i="52"/>
  <c r="C41" i="52"/>
  <c r="C42" i="52"/>
  <c r="C43" i="52"/>
  <c r="B29" i="52"/>
  <c r="B30" i="52"/>
  <c r="B31" i="52"/>
  <c r="B32" i="52"/>
  <c r="B33" i="52"/>
  <c r="B34" i="52"/>
  <c r="B35" i="52"/>
  <c r="B36" i="52"/>
  <c r="B37" i="52"/>
  <c r="B38" i="52"/>
  <c r="B39" i="52"/>
  <c r="B40" i="52"/>
  <c r="B41" i="52"/>
  <c r="B43" i="52"/>
  <c r="B28" i="52"/>
  <c r="E19" i="71"/>
  <c r="E14" i="71"/>
  <c r="D9" i="71"/>
  <c r="D8" i="71"/>
  <c r="C8" i="71"/>
  <c r="C9" i="71" s="1"/>
  <c r="C21" i="71" s="1"/>
  <c r="E7" i="71"/>
  <c r="E23" i="70"/>
  <c r="E17" i="70"/>
  <c r="D11" i="70"/>
  <c r="C11" i="70"/>
  <c r="C25" i="70" s="1"/>
  <c r="E10" i="70"/>
  <c r="E8" i="70"/>
  <c r="E7" i="70"/>
  <c r="B36" i="5" l="1"/>
  <c r="D22" i="70"/>
  <c r="D21" i="70"/>
  <c r="D24" i="70"/>
  <c r="E24" i="70" s="1"/>
  <c r="D16" i="9"/>
  <c r="E11" i="70"/>
  <c r="D25" i="70"/>
  <c r="E25" i="70" s="1"/>
  <c r="C22" i="70"/>
  <c r="C21" i="70"/>
  <c r="C24" i="70"/>
  <c r="E8" i="71"/>
  <c r="E21" i="71"/>
  <c r="E9" i="71"/>
  <c r="E16" i="70"/>
  <c r="E21" i="70" l="1"/>
  <c r="E22" i="70"/>
  <c r="E20" i="71"/>
  <c r="D26" i="69"/>
  <c r="C26" i="69"/>
  <c r="D25" i="69"/>
  <c r="C25" i="69"/>
  <c r="D19" i="69"/>
  <c r="D28" i="69" s="1"/>
  <c r="C19" i="69"/>
  <c r="C28" i="69" s="1"/>
  <c r="E18" i="69"/>
  <c r="E17" i="69"/>
  <c r="D16" i="69"/>
  <c r="C16" i="69"/>
  <c r="D10" i="69"/>
  <c r="C10" i="69"/>
  <c r="E9" i="69"/>
  <c r="E8" i="69"/>
  <c r="E7" i="69"/>
  <c r="O34" i="81" l="1"/>
  <c r="O31" i="81"/>
  <c r="O29" i="81"/>
  <c r="O32" i="81"/>
  <c r="O33" i="81"/>
  <c r="O30" i="81"/>
  <c r="D24" i="69"/>
  <c r="E24" i="69" s="1"/>
  <c r="C24" i="5"/>
  <c r="C12" i="69"/>
  <c r="C31" i="69" s="1"/>
  <c r="E28" i="69"/>
  <c r="D11" i="69"/>
  <c r="D30" i="69" s="1"/>
  <c r="C20" i="69"/>
  <c r="C29" i="69" s="1"/>
  <c r="N34" i="81"/>
  <c r="N32" i="81"/>
  <c r="N31" i="81"/>
  <c r="N30" i="81"/>
  <c r="N33" i="81"/>
  <c r="N29" i="81"/>
  <c r="C24" i="69"/>
  <c r="B24" i="5"/>
  <c r="E25" i="69"/>
  <c r="C15" i="9"/>
  <c r="E26" i="69"/>
  <c r="C27" i="69"/>
  <c r="C11" i="69"/>
  <c r="C30" i="69" s="1"/>
  <c r="E19" i="69"/>
  <c r="D15" i="9"/>
  <c r="E16" i="69"/>
  <c r="D20" i="69"/>
  <c r="D12" i="69"/>
  <c r="D31" i="69" s="1"/>
  <c r="E10" i="69"/>
  <c r="D27" i="69"/>
  <c r="E20" i="69" l="1"/>
  <c r="D29" i="69"/>
  <c r="E29" i="69" s="1"/>
  <c r="B40" i="91"/>
  <c r="B38" i="91"/>
  <c r="B37" i="91"/>
  <c r="B39" i="91"/>
  <c r="B43" i="91"/>
  <c r="B36" i="91"/>
  <c r="C36" i="91"/>
  <c r="C37" i="91"/>
  <c r="C39" i="91"/>
  <c r="C43" i="91"/>
  <c r="C38" i="91"/>
  <c r="C40" i="91"/>
  <c r="E27" i="69"/>
  <c r="E30" i="69"/>
  <c r="E11" i="69"/>
  <c r="E31" i="69"/>
  <c r="E12" i="69"/>
  <c r="D19" i="91" l="1"/>
  <c r="B23" i="91" l="1"/>
  <c r="C22" i="91"/>
  <c r="B22" i="91"/>
  <c r="C21" i="91"/>
  <c r="B21" i="91"/>
  <c r="D23" i="5" l="1"/>
  <c r="C9" i="5"/>
  <c r="C38" i="5" s="1"/>
  <c r="B9" i="5"/>
  <c r="B38" i="5" s="1"/>
  <c r="D9" i="5" l="1"/>
  <c r="D37" i="5"/>
  <c r="D8" i="5"/>
  <c r="D25" i="5"/>
  <c r="D10" i="5"/>
  <c r="B23" i="81" l="1"/>
  <c r="B43" i="81" s="1"/>
  <c r="P12" i="81"/>
  <c r="E9" i="9"/>
  <c r="D11" i="10" l="1"/>
  <c r="C11" i="10"/>
  <c r="E11" i="10" l="1"/>
  <c r="C12" i="5" l="1"/>
  <c r="C40" i="5" s="1"/>
  <c r="B15" i="5" l="1"/>
  <c r="C15" i="5"/>
  <c r="C14" i="5"/>
  <c r="B14" i="5"/>
  <c r="K32" i="92" l="1"/>
  <c r="J32" i="92"/>
  <c r="I32" i="92"/>
  <c r="D9" i="52"/>
  <c r="D10" i="52"/>
  <c r="D11" i="52"/>
  <c r="D12" i="52"/>
  <c r="D13" i="52"/>
  <c r="D14" i="52"/>
  <c r="D15" i="52"/>
  <c r="D16" i="52"/>
  <c r="D17" i="52"/>
  <c r="D18" i="52"/>
  <c r="D19" i="52"/>
  <c r="D20" i="52"/>
  <c r="D21" i="52"/>
  <c r="D23" i="52"/>
  <c r="B23" i="52"/>
  <c r="C23" i="52"/>
  <c r="C22" i="52"/>
  <c r="B22" i="52"/>
  <c r="B42" i="52" s="1"/>
  <c r="C21" i="52"/>
  <c r="B21" i="52"/>
  <c r="D22" i="52" l="1"/>
  <c r="K7" i="92"/>
  <c r="K8" i="92"/>
  <c r="K9" i="92"/>
  <c r="K10" i="92"/>
  <c r="K11" i="92"/>
  <c r="K12" i="92"/>
  <c r="K13" i="92"/>
  <c r="K14" i="92"/>
  <c r="K15" i="92"/>
  <c r="K16" i="92"/>
  <c r="K17" i="92"/>
  <c r="K18" i="92"/>
  <c r="K19" i="92"/>
  <c r="K20" i="92"/>
  <c r="K21" i="92"/>
  <c r="K22" i="92"/>
  <c r="K23" i="92"/>
  <c r="K24" i="92"/>
  <c r="K25" i="92"/>
  <c r="K26" i="92"/>
  <c r="K27" i="92"/>
  <c r="K28" i="92"/>
  <c r="K29" i="92"/>
  <c r="K30" i="92"/>
  <c r="K31" i="92"/>
  <c r="J7" i="92"/>
  <c r="J8" i="92"/>
  <c r="J9" i="92"/>
  <c r="J10" i="92"/>
  <c r="J11" i="92"/>
  <c r="J12" i="92"/>
  <c r="J13" i="92"/>
  <c r="J14" i="92"/>
  <c r="J15" i="92"/>
  <c r="J16" i="92"/>
  <c r="J17" i="92"/>
  <c r="J18" i="92"/>
  <c r="J19" i="92"/>
  <c r="J20" i="92"/>
  <c r="J21" i="92"/>
  <c r="J22" i="92"/>
  <c r="J23" i="92"/>
  <c r="J24" i="92"/>
  <c r="J25" i="92"/>
  <c r="J26" i="92"/>
  <c r="J27" i="92"/>
  <c r="J28" i="92"/>
  <c r="J29" i="92"/>
  <c r="J30" i="92"/>
  <c r="J31" i="92"/>
  <c r="I7" i="92"/>
  <c r="I8" i="92"/>
  <c r="I9" i="92"/>
  <c r="I10" i="92"/>
  <c r="I11" i="92"/>
  <c r="I12" i="92"/>
  <c r="I13" i="92"/>
  <c r="I14" i="92"/>
  <c r="I15" i="92"/>
  <c r="I16" i="92"/>
  <c r="I17" i="92"/>
  <c r="I18" i="92"/>
  <c r="I19" i="92"/>
  <c r="I20" i="92"/>
  <c r="I21" i="92"/>
  <c r="I22" i="92"/>
  <c r="I23" i="92"/>
  <c r="I24" i="92"/>
  <c r="I25" i="92"/>
  <c r="I26" i="92"/>
  <c r="I27" i="92"/>
  <c r="I28" i="92"/>
  <c r="I29" i="92"/>
  <c r="I30" i="92"/>
  <c r="I31" i="92"/>
  <c r="C22" i="81" l="1"/>
  <c r="C42" i="81" s="1"/>
  <c r="B22" i="81"/>
  <c r="B42" i="81" s="1"/>
  <c r="C21" i="81"/>
  <c r="C41" i="81" s="1"/>
  <c r="B21" i="81"/>
  <c r="B41" i="81" s="1"/>
  <c r="D14" i="81"/>
  <c r="D15" i="81"/>
  <c r="D16" i="81"/>
  <c r="D17" i="81"/>
  <c r="C23" i="81"/>
  <c r="C43" i="81" s="1"/>
  <c r="D37" i="81" l="1"/>
  <c r="C21" i="9"/>
  <c r="D35" i="81"/>
  <c r="D34" i="81"/>
  <c r="D36" i="81"/>
  <c r="D38" i="81"/>
  <c r="D40" i="81"/>
  <c r="D39" i="81"/>
  <c r="B11" i="5"/>
  <c r="C26" i="5" l="1"/>
  <c r="D21" i="9"/>
  <c r="D36" i="52"/>
  <c r="D40" i="52" l="1"/>
  <c r="D38" i="52"/>
  <c r="D39" i="52"/>
  <c r="D37" i="52"/>
  <c r="C28" i="5"/>
  <c r="B28" i="5"/>
  <c r="C13" i="5"/>
  <c r="C41" i="5" s="1"/>
  <c r="B13" i="5"/>
  <c r="C16" i="10"/>
  <c r="D15" i="10"/>
  <c r="C15" i="10"/>
  <c r="O14" i="81"/>
  <c r="O35" i="81" s="1"/>
  <c r="N14" i="81"/>
  <c r="N35" i="81" s="1"/>
  <c r="B41" i="5" l="1"/>
  <c r="D41" i="5" s="1"/>
  <c r="C23" i="9" l="1"/>
  <c r="B26" i="5"/>
  <c r="B39" i="5" s="1"/>
  <c r="B42" i="91"/>
  <c r="B34" i="91"/>
  <c r="B30" i="91"/>
  <c r="B33" i="91"/>
  <c r="B29" i="91"/>
  <c r="B35" i="91"/>
  <c r="B32" i="91"/>
  <c r="B41" i="91"/>
  <c r="B28" i="91"/>
  <c r="B31" i="91"/>
  <c r="C42" i="91"/>
  <c r="C34" i="91"/>
  <c r="C28" i="91"/>
  <c r="C32" i="91"/>
  <c r="C33" i="91"/>
  <c r="C41" i="91"/>
  <c r="C31" i="91"/>
  <c r="C29" i="91"/>
  <c r="C35" i="91"/>
  <c r="C30" i="91"/>
  <c r="D24" i="5"/>
  <c r="C7" i="10"/>
  <c r="D7" i="10"/>
  <c r="D38" i="5" l="1"/>
  <c r="B27" i="5" l="1"/>
  <c r="B12" i="5" l="1"/>
  <c r="C11" i="5"/>
  <c r="C17" i="5" l="1"/>
  <c r="C44" i="5" s="1"/>
  <c r="C39" i="5"/>
  <c r="B17" i="5"/>
  <c r="B44" i="5" s="1"/>
  <c r="B40" i="5"/>
  <c r="C16" i="5"/>
  <c r="D11" i="5"/>
  <c r="D31" i="5"/>
  <c r="D28" i="5"/>
  <c r="D27" i="5"/>
  <c r="D22" i="5"/>
  <c r="B16" i="5" l="1"/>
  <c r="D16" i="5"/>
  <c r="D26" i="5" l="1"/>
  <c r="P9" i="81" l="1"/>
  <c r="P10" i="81"/>
  <c r="P11" i="81"/>
  <c r="P13" i="81"/>
  <c r="P14" i="81"/>
  <c r="P8" i="81"/>
  <c r="D9" i="81"/>
  <c r="D10" i="81"/>
  <c r="D11" i="81"/>
  <c r="D12" i="81"/>
  <c r="D13" i="81"/>
  <c r="D18" i="81"/>
  <c r="D19" i="81"/>
  <c r="D20" i="81"/>
  <c r="D21" i="81"/>
  <c r="D22" i="81"/>
  <c r="D23" i="81"/>
  <c r="D8" i="81"/>
  <c r="D41" i="52" l="1"/>
  <c r="D29" i="52"/>
  <c r="D30" i="52"/>
  <c r="D43" i="52"/>
  <c r="D34" i="52"/>
  <c r="D33" i="52"/>
  <c r="D28" i="52"/>
  <c r="D32" i="52"/>
  <c r="D35" i="52"/>
  <c r="D31" i="52"/>
  <c r="D42" i="52"/>
  <c r="P33" i="81" l="1"/>
  <c r="D39" i="91"/>
  <c r="D32" i="91" l="1"/>
  <c r="P35" i="81"/>
  <c r="P31" i="81"/>
  <c r="P29" i="81"/>
  <c r="P32" i="81"/>
  <c r="P34" i="81"/>
  <c r="P30" i="81"/>
  <c r="D23" i="9"/>
  <c r="D22" i="9"/>
  <c r="C22" i="9"/>
  <c r="D39" i="5" l="1"/>
  <c r="D15" i="5" l="1"/>
  <c r="E10" i="10"/>
  <c r="D33" i="81" l="1"/>
  <c r="D28" i="81"/>
  <c r="D32" i="81" l="1"/>
  <c r="D29" i="81"/>
  <c r="D31" i="81"/>
  <c r="D30" i="81"/>
  <c r="E22" i="9"/>
  <c r="E16" i="9"/>
  <c r="E15" i="9"/>
  <c r="E14" i="9"/>
  <c r="D41" i="81" l="1"/>
  <c r="D42" i="81"/>
  <c r="D43" i="81"/>
  <c r="E21" i="9"/>
  <c r="E23" i="9"/>
  <c r="E8" i="9"/>
  <c r="D13" i="91" l="1"/>
  <c r="D14" i="5" l="1"/>
  <c r="E9" i="10"/>
  <c r="D17" i="91" l="1"/>
  <c r="D16" i="91"/>
  <c r="D20" i="91"/>
  <c r="D18" i="91"/>
  <c r="E7" i="9" l="1"/>
  <c r="E16" i="10" l="1"/>
  <c r="D23" i="91" l="1"/>
  <c r="D15" i="91"/>
  <c r="D14" i="91"/>
  <c r="D8" i="52"/>
  <c r="D9" i="91" l="1"/>
  <c r="D12" i="91"/>
  <c r="D11" i="91"/>
  <c r="D8" i="91"/>
  <c r="D10" i="91"/>
  <c r="E15" i="10"/>
  <c r="D7" i="5" l="1"/>
  <c r="D22" i="91"/>
  <c r="D21" i="91"/>
  <c r="D35" i="91" l="1"/>
  <c r="D36" i="91"/>
  <c r="D43" i="91"/>
  <c r="D31" i="91"/>
  <c r="D29" i="91"/>
  <c r="D28" i="91"/>
  <c r="D33" i="91"/>
  <c r="D34" i="91"/>
  <c r="D30" i="91"/>
  <c r="D41" i="91"/>
  <c r="D42" i="91"/>
  <c r="D37" i="91"/>
  <c r="D40" i="91"/>
  <c r="D38" i="91"/>
  <c r="E7" i="10" l="1"/>
  <c r="E8" i="10"/>
  <c r="D40" i="5" l="1"/>
  <c r="E24" i="10"/>
  <c r="D36" i="5"/>
  <c r="D12" i="5"/>
  <c r="E23" i="10"/>
  <c r="D13" i="5"/>
  <c r="D44" i="5" l="1"/>
  <c r="D17" i="5"/>
</calcChain>
</file>

<file path=xl/sharedStrings.xml><?xml version="1.0" encoding="utf-8"?>
<sst xmlns="http://schemas.openxmlformats.org/spreadsheetml/2006/main" count="773" uniqueCount="291">
  <si>
    <t>Health Care Cost Growth Trends in California, 2022-2023</t>
  </si>
  <si>
    <t>2025 Health Care Cost Growth Target Baseline Report - Databook</t>
  </si>
  <si>
    <t xml:space="preserve">This databook provides the detailed state and market level data underlying the 2025 Health Care Cost Growth Target Baseline Report </t>
  </si>
  <si>
    <r>
      <t xml:space="preserve">Please contact </t>
    </r>
    <r>
      <rPr>
        <b/>
        <u/>
        <sz val="11"/>
        <color theme="5"/>
        <rFont val="Arial"/>
        <family val="2"/>
        <scheme val="minor"/>
      </rPr>
      <t>ohca@hcai.ca.gov</t>
    </r>
    <r>
      <rPr>
        <sz val="11"/>
        <color theme="1"/>
        <rFont val="Arial"/>
        <family val="2"/>
        <scheme val="minor"/>
      </rPr>
      <t xml:space="preserve"> with any questions. </t>
    </r>
  </si>
  <si>
    <t>Workbook Tabs</t>
  </si>
  <si>
    <t>Description</t>
  </si>
  <si>
    <t>THCE_Statewide</t>
  </si>
  <si>
    <t>Total Health Care Expenditures (THCE) Statewide, 2022-2023</t>
  </si>
  <si>
    <t>THCE_Comm</t>
  </si>
  <si>
    <t>THCE Commercial Market, 2022-2023</t>
  </si>
  <si>
    <t>THCE_Mcare</t>
  </si>
  <si>
    <t>THCE Medicare Market, 2022-2023</t>
  </si>
  <si>
    <t>THCE Medicaid Market, 2022-2023</t>
  </si>
  <si>
    <t>THCE_ACP</t>
  </si>
  <si>
    <t>THCE_Other</t>
  </si>
  <si>
    <t>THCE Other Spending, 2022-2023</t>
  </si>
  <si>
    <t>TME_StatewideServCat</t>
  </si>
  <si>
    <t>Total Medical Expenses (TME) Spending by Service Category, Statewide</t>
  </si>
  <si>
    <t>TME_Comm_ServCat</t>
  </si>
  <si>
    <t xml:space="preserve">TME Spending by Service Category, Commercial </t>
  </si>
  <si>
    <t>TME_Mcare_ServCat</t>
  </si>
  <si>
    <t>TME Spending by Service Category, Medicare</t>
  </si>
  <si>
    <t>TME_Region</t>
  </si>
  <si>
    <t>Total Medical Expenses (TME) by Region</t>
  </si>
  <si>
    <t>TME_Submitter</t>
  </si>
  <si>
    <t>Total Health Care Expenditures: Statewide</t>
  </si>
  <si>
    <t>THCE Component</t>
  </si>
  <si>
    <t>Total Expenses</t>
  </si>
  <si>
    <t>Percent Change</t>
  </si>
  <si>
    <t>Note</t>
  </si>
  <si>
    <t>2022-2023</t>
  </si>
  <si>
    <t>Commercial</t>
  </si>
  <si>
    <t>Medicare FFS</t>
  </si>
  <si>
    <t>Medicare Advantage</t>
  </si>
  <si>
    <t>Medi-Cal MCO</t>
  </si>
  <si>
    <t>D-SNP</t>
  </si>
  <si>
    <t>Veterans Affairs (VA)</t>
  </si>
  <si>
    <t>California Correctional Health Care Services</t>
  </si>
  <si>
    <t>Indian Health Service (IHS)</t>
  </si>
  <si>
    <t>Other DHCS programs</t>
  </si>
  <si>
    <t>Total</t>
  </si>
  <si>
    <t>n.a.</t>
  </si>
  <si>
    <t>n.a</t>
  </si>
  <si>
    <t>Enrollment data unavailable</t>
  </si>
  <si>
    <t>Total Health Care Expenditures: Commercial Market</t>
  </si>
  <si>
    <t>Market Type</t>
  </si>
  <si>
    <t>Data Source</t>
  </si>
  <si>
    <t>Commercial Administrative Costs and Profits</t>
  </si>
  <si>
    <t>THCE_ACP tab</t>
  </si>
  <si>
    <t>Total Health Care Expenditures: Medicare Market</t>
  </si>
  <si>
    <t>CMS</t>
  </si>
  <si>
    <t>Total Health Care Expenditures: Medi-Cal Market</t>
  </si>
  <si>
    <t>CMS-64</t>
  </si>
  <si>
    <t>DHCS MLR</t>
  </si>
  <si>
    <t>By market sector</t>
  </si>
  <si>
    <t>Market Sector</t>
  </si>
  <si>
    <t>CCIIO MLR</t>
  </si>
  <si>
    <t>CCIIO MLR, Schedule L</t>
  </si>
  <si>
    <t>Schedule L used when CCIIO MLR data unavialable</t>
  </si>
  <si>
    <t/>
  </si>
  <si>
    <t>Total Health Care Expenditures: Other Spending</t>
  </si>
  <si>
    <t>Program Type</t>
  </si>
  <si>
    <t>VA</t>
  </si>
  <si>
    <t>CCHCS</t>
  </si>
  <si>
    <t>IHS</t>
  </si>
  <si>
    <t>DHCS</t>
  </si>
  <si>
    <t>Not otherwise captured in claims</t>
  </si>
  <si>
    <t>Unique Patients * 12</t>
  </si>
  <si>
    <t>Total Medical Expenses Spending by Service Category, Statewide</t>
  </si>
  <si>
    <t>Net and gross of prescription drug rebates</t>
  </si>
  <si>
    <t>Medicare Advantage + Medicare Advantage Duals, Medicare FFS, and Commercial</t>
  </si>
  <si>
    <t>Service Category</t>
  </si>
  <si>
    <t>Claims Hospital Inpatient</t>
  </si>
  <si>
    <t>Claims Hospital Outpatient</t>
  </si>
  <si>
    <t>Claims Professional</t>
  </si>
  <si>
    <t>Claims Retail Pharmacy (Gross of Rebates)</t>
  </si>
  <si>
    <t>Medicare FFS Not included</t>
  </si>
  <si>
    <t>Claims Other</t>
  </si>
  <si>
    <t>Non-Claims Performance Payments</t>
  </si>
  <si>
    <t>Non-Claims Population Health and Practice Infrastructure Payments</t>
  </si>
  <si>
    <t>Non-Claims Payments with Shared Savings and Recoupments</t>
  </si>
  <si>
    <t>Claims: Total (Gross of Rebates)</t>
  </si>
  <si>
    <t>Claims: Total (Net of Rebates)</t>
  </si>
  <si>
    <t>Non-Claims: Total</t>
  </si>
  <si>
    <t>Medicare FFS does not report pharmacy rebates.</t>
  </si>
  <si>
    <t>Medicare FFS does not report any non-claims spending.</t>
  </si>
  <si>
    <t>Claims: Total</t>
  </si>
  <si>
    <t>Rating Region/ SPA Code</t>
  </si>
  <si>
    <t>Rating Region/SPA Description</t>
  </si>
  <si>
    <t>2022-2023 Percent Change</t>
  </si>
  <si>
    <t>TME</t>
  </si>
  <si>
    <t>RR01</t>
  </si>
  <si>
    <t>Northern counties</t>
  </si>
  <si>
    <t>RR02</t>
  </si>
  <si>
    <t>North Bay Area</t>
  </si>
  <si>
    <t>RR03</t>
  </si>
  <si>
    <t>Greater Sacramento</t>
  </si>
  <si>
    <t>RR04</t>
  </si>
  <si>
    <t>San Francisco County</t>
  </si>
  <si>
    <t>RR05</t>
  </si>
  <si>
    <t>Contra Costa County</t>
  </si>
  <si>
    <t>RR06</t>
  </si>
  <si>
    <t>Alameda County</t>
  </si>
  <si>
    <t>RR07</t>
  </si>
  <si>
    <t>Santa Clara County</t>
  </si>
  <si>
    <t>RR08</t>
  </si>
  <si>
    <t>San Mateo County</t>
  </si>
  <si>
    <t>RR09</t>
  </si>
  <si>
    <t>Santa Cruz, San Benito, Monterey counties</t>
  </si>
  <si>
    <t>RR10</t>
  </si>
  <si>
    <t>Central Valley</t>
  </si>
  <si>
    <t>RR11</t>
  </si>
  <si>
    <t>Fresno, Kings, Madera counties</t>
  </si>
  <si>
    <t>RR12</t>
  </si>
  <si>
    <t>Central Coast</t>
  </si>
  <si>
    <t>RR13</t>
  </si>
  <si>
    <t>Eastern counties</t>
  </si>
  <si>
    <t>RR14</t>
  </si>
  <si>
    <t>Kern County</t>
  </si>
  <si>
    <t>RR17</t>
  </si>
  <si>
    <t>Inland Empire</t>
  </si>
  <si>
    <t>RR18</t>
  </si>
  <si>
    <t>Orange County</t>
  </si>
  <si>
    <t>RR19</t>
  </si>
  <si>
    <t>San Diego County</t>
  </si>
  <si>
    <t>SPA1</t>
  </si>
  <si>
    <t>Los Angeles: Antelope Valley</t>
  </si>
  <si>
    <t>SPA2</t>
  </si>
  <si>
    <t>Los Angeles: San Fernando Valley</t>
  </si>
  <si>
    <t>SPA3</t>
  </si>
  <si>
    <t>Los Angeles: San Gabriel Valley</t>
  </si>
  <si>
    <t>SPA4</t>
  </si>
  <si>
    <t>Los Angeles: Metro</t>
  </si>
  <si>
    <t>SPA5</t>
  </si>
  <si>
    <t>Los Angeles: West</t>
  </si>
  <si>
    <t>SPA6</t>
  </si>
  <si>
    <t>Los Angeles: South</t>
  </si>
  <si>
    <t>SPA7</t>
  </si>
  <si>
    <t>Los Angeles: East</t>
  </si>
  <si>
    <t>SPA8</t>
  </si>
  <si>
    <t>Los Angeles: South Bay</t>
  </si>
  <si>
    <t>Alameda Alliance</t>
  </si>
  <si>
    <t>Alignment</t>
  </si>
  <si>
    <t>CalOptima</t>
  </si>
  <si>
    <t>CenCal</t>
  </si>
  <si>
    <t>Cigna</t>
  </si>
  <si>
    <t>Community Health Group</t>
  </si>
  <si>
    <t>Contra Costa Health Plan</t>
  </si>
  <si>
    <t>Health Plan of San Joaquin</t>
  </si>
  <si>
    <t>Health Plan of San Mateo</t>
  </si>
  <si>
    <t>Kaiser</t>
  </si>
  <si>
    <t>Molina</t>
  </si>
  <si>
    <t>Santa Clara Family Health Plan</t>
  </si>
  <si>
    <t>SCAN</t>
  </si>
  <si>
    <t>Sharp</t>
  </si>
  <si>
    <t>Sutter</t>
  </si>
  <si>
    <t>Valley Health Plan</t>
  </si>
  <si>
    <t>THCE_MCal</t>
  </si>
  <si>
    <t>Includes non-Hospital outpatient facilities (e.g. Rural Health Clinics), hospice, durable medical equipment, and other suppliers (e.g. screening centers)</t>
  </si>
  <si>
    <t>Includes physicians and other professionals, such as nurse practitioners and occupational therapists</t>
  </si>
  <si>
    <t>Members</t>
  </si>
  <si>
    <t>PMPY</t>
  </si>
  <si>
    <t>using 2023-2024 DHCS budget total expenditures minus FFS + MCO</t>
  </si>
  <si>
    <t>Gross of pharmacy rebates</t>
  </si>
  <si>
    <t>Total Commercial THCE</t>
  </si>
  <si>
    <t>Member Months divided by 12</t>
  </si>
  <si>
    <t>Non-Claims Capitation</t>
  </si>
  <si>
    <t>Claims Retail Pharmacy Rebates</t>
  </si>
  <si>
    <t>Claims Medical Pharmacy Rebates</t>
  </si>
  <si>
    <t>Medicare Advantage - non Duals</t>
  </si>
  <si>
    <t>Medicare Advantage non-Duals</t>
  </si>
  <si>
    <t>Medicare Advantage Non-Duals</t>
  </si>
  <si>
    <t>Payer Submissions</t>
  </si>
  <si>
    <t>Includes Duals in Medicare Advantage plans and D-SNPs</t>
  </si>
  <si>
    <t>Aetna</t>
  </si>
  <si>
    <t>Centene / Health Net</t>
  </si>
  <si>
    <t>UnitedHealthcare</t>
  </si>
  <si>
    <t>Total Medical Expenses (TME) by Submitter</t>
  </si>
  <si>
    <t>Data Source Notes</t>
  </si>
  <si>
    <t>THCE_MCare</t>
  </si>
  <si>
    <t>Attributed File</t>
  </si>
  <si>
    <t>Submitter Questionnaire</t>
  </si>
  <si>
    <t>Acronyms</t>
  </si>
  <si>
    <t>Per member per year</t>
  </si>
  <si>
    <t>Total medical expenditures</t>
  </si>
  <si>
    <t>THCE</t>
  </si>
  <si>
    <t>Total healthcare expenditures</t>
  </si>
  <si>
    <t>FFS</t>
  </si>
  <si>
    <t>Definition</t>
  </si>
  <si>
    <t>fee-for-service</t>
  </si>
  <si>
    <t>MCO</t>
  </si>
  <si>
    <t>Managed care organizations</t>
  </si>
  <si>
    <t>OHCA</t>
  </si>
  <si>
    <t>Office of Health Care Affordability</t>
  </si>
  <si>
    <t>Department of Health Care Services</t>
  </si>
  <si>
    <t>Veteran's Affairs</t>
  </si>
  <si>
    <t>Indian Health Service</t>
  </si>
  <si>
    <t>RR99</t>
  </si>
  <si>
    <t>Unspecified Region</t>
  </si>
  <si>
    <t>Adjusted rates are not provided for Medi-Cal because Medi-Cal data were not reported by age-gender category.</t>
  </si>
  <si>
    <t>Blue Shield of CA</t>
  </si>
  <si>
    <t>Central Health Plan of CA</t>
  </si>
  <si>
    <t>Universal Care</t>
  </si>
  <si>
    <t>CalViva</t>
  </si>
  <si>
    <t>Central Coast Alliance</t>
  </si>
  <si>
    <t>Gold Coast</t>
  </si>
  <si>
    <t>LA Care</t>
  </si>
  <si>
    <t>Partnership Health Plan of CA</t>
  </si>
  <si>
    <t>State population from Census</t>
  </si>
  <si>
    <t>Understated due to incomplete reporting*</t>
  </si>
  <si>
    <t>Total Health Care Expenditures</t>
  </si>
  <si>
    <t>Excludes administrative cost and profit</t>
  </si>
  <si>
    <t>Includes administrative cost and profit</t>
  </si>
  <si>
    <t>Total Medicare Advantage including Duals and D-SNPs</t>
  </si>
  <si>
    <t>Total Medicare including Duals and D-SNPs</t>
  </si>
  <si>
    <t>FFS + Medicare Advantage Duals and non Duals + D-SNP</t>
  </si>
  <si>
    <t>Gross of pharmacy rebates.</t>
  </si>
  <si>
    <t xml:space="preserve">Total </t>
  </si>
  <si>
    <t>Medi-Cal MCO THCE</t>
  </si>
  <si>
    <t>Total Medical Expense</t>
  </si>
  <si>
    <t>Total Medical Expense Spending by Service Category, Medicare</t>
  </si>
  <si>
    <t>Total Medical Expense Spending by Service Category, Commercial</t>
  </si>
  <si>
    <t>Unadjusted and Adjusted Total Medical Expense (TME) per member per year (PMPY) by Submitter, gross of pharmacy rebates</t>
  </si>
  <si>
    <t>THCE Administrative Costs and Profits by Market Sector, 2022-2023</t>
  </si>
  <si>
    <t>Administrative Costs and Profits</t>
  </si>
  <si>
    <t>Medicare Advantage Administrative Costs and Profits</t>
  </si>
  <si>
    <t>Medi-Cal MCO Administrative Costs and Profits</t>
  </si>
  <si>
    <t>Anthem Blue Cross</t>
  </si>
  <si>
    <t>Medicare FFS Not Included</t>
  </si>
  <si>
    <t>Medicare FFS Rebates = $0</t>
  </si>
  <si>
    <t>Census</t>
  </si>
  <si>
    <t>Data File</t>
  </si>
  <si>
    <t>DMHC Schedule L</t>
  </si>
  <si>
    <t>Regional File</t>
  </si>
  <si>
    <t>Applicable Data Book Tabs</t>
  </si>
  <si>
    <t xml:space="preserve">CMS-64 </t>
  </si>
  <si>
    <t>Data.cchs.ca.gov</t>
  </si>
  <si>
    <t>Medi-Cal THCE</t>
  </si>
  <si>
    <t>Medi-Cal TME</t>
  </si>
  <si>
    <t>Medi-Cal</t>
  </si>
  <si>
    <t>Medicare</t>
  </si>
  <si>
    <t>Duals &amp; D-SNPs</t>
  </si>
  <si>
    <t>Sum of applicable markets (commercial, Medi-Cal MCO, Medicare Advantage)</t>
  </si>
  <si>
    <t>Commercial TME</t>
  </si>
  <si>
    <t>Medicare TME</t>
  </si>
  <si>
    <t>Duals &amp; D-SNPs TME</t>
  </si>
  <si>
    <t>Medicare Advantage (non-duals) and Medicare FFS, gross of pharmacy rebates</t>
  </si>
  <si>
    <t>Duals in Medicare Advantage plans and D-SNPs</t>
  </si>
  <si>
    <t>Dual Eligible Special Needs Plan</t>
  </si>
  <si>
    <t>Managed Care &amp; FFS, gross of pharmacy rebates</t>
  </si>
  <si>
    <t>Managed Care &amp; FFS</t>
  </si>
  <si>
    <t>Medicare Advantage (non-duals) and Medicare FFS</t>
  </si>
  <si>
    <t>Duals in Medicare Advantage plans and D-SNPs, gross of pharmacy rebates</t>
  </si>
  <si>
    <t xml:space="preserve">Commercial and Medicare Advantage TME data are derived from files submitted by payers to OHCA.  TME for additional markets and submarkets along with administrative costs and profits for commercial, Medicare Advantage, and Medi-Cal MCO are derived from data sources collected by OHCA. The table below shows the applicable data source for each tab in this data book. Due to occassional discrepancies in reported spending across payer submitted files, sums in the regional tab do not match sums in other tabs. </t>
  </si>
  <si>
    <t>Expenses are gross of pharmacy rebates.</t>
  </si>
  <si>
    <t>Non-Claims Other</t>
  </si>
  <si>
    <t>Commercial, Medicare Advantage + Medicare Advantage Duals, D-SNP</t>
  </si>
  <si>
    <t>Claims and Capitation by Rating Region/Service Planning Area</t>
  </si>
  <si>
    <t>Unadjusted Growth Rate</t>
  </si>
  <si>
    <t>Age-gender Adjusted Growth Rate</t>
  </si>
  <si>
    <t>Submitter Name</t>
  </si>
  <si>
    <t>Western Health Advantage</t>
  </si>
  <si>
    <t>San Francisco Health Plan</t>
  </si>
  <si>
    <t>Inland Empire Health Plan</t>
  </si>
  <si>
    <t>Kern Health systems</t>
  </si>
  <si>
    <t>Data is limited to claims and capitation spending, which can be attributed to individual members and geographic regions. Non-claims payments, typically made as lump sums to providers, cannot be reliably linked to specific members or locations.</t>
  </si>
  <si>
    <t>Payers reported about 1% of enrollees living in unknown or unspecified regions</t>
  </si>
  <si>
    <t>Notes:</t>
  </si>
  <si>
    <t>Claims Long Term Care</t>
  </si>
  <si>
    <t>*Self-insured administrative cost and profit data were not reported consistently across submitters. Data from one submitter were excluded because self-insured TME was not reported alongside administrative costs and profits.</t>
  </si>
  <si>
    <t>Medicare Advantage - Duals and D-SNP</t>
  </si>
  <si>
    <t>Total Medicare Advantage including Duals and D-SNPs THCE</t>
  </si>
  <si>
    <t>Total Medicare including Duals and D-SNPs THCE</t>
  </si>
  <si>
    <t>Total Medicare Advantage including Duals and D-SNPs TME</t>
  </si>
  <si>
    <t>Total Medicare including Duals and D-SNPs TME</t>
  </si>
  <si>
    <t>Medicare Advantage Duals and non Duals + D-SNP</t>
  </si>
  <si>
    <t>Medi-Cal FFS</t>
  </si>
  <si>
    <t>Medi-Cal Managed Care Organizations</t>
  </si>
  <si>
    <t>Total Adminstrative Costs and Profits</t>
  </si>
  <si>
    <t>Medi-Cal Managed Care Organizations (MCO)</t>
  </si>
  <si>
    <t>FFS enrollment overlaps with MCO enrollment*</t>
  </si>
  <si>
    <t>CCIIO MLR, Payer Submissions</t>
  </si>
  <si>
    <t>*PMPY for FFS was not calculated due to substantial member overlap between FFS and MCO enrollment, which prevents accurate attribution of FFS only expenses.</t>
  </si>
  <si>
    <t>Commerial</t>
  </si>
  <si>
    <t>Claims LTC</t>
  </si>
  <si>
    <t>Medicare Advantage Duals + D-SNPs</t>
  </si>
  <si>
    <t xml:space="preserve"> </t>
  </si>
  <si>
    <t>Medicare (including Duals and D-SNPs) TME</t>
  </si>
  <si>
    <t>Other Medi-Cal and non-Medi-Cal Spending from DHCS</t>
  </si>
  <si>
    <t>Published June 12, 2025</t>
  </si>
  <si>
    <t>MCO Tax and Pass-Through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</si>
</sst>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4" formatCode="_(&quot;$&quot;* #,##0.00_);_(&quot;$&quot;* \(#,##0.00\);_(&quot;$&quot;* &quot;-&quot;??_);_(@_)"/>
    <numFmt numFmtId="43" formatCode="_(* #,##0.00_);_(* \(#,##0.00\);_(* &quot;-&quot;??_);_(@_)"/>
    <numFmt numFmtId="164" formatCode="0.0"/>
    <numFmt numFmtId="165" formatCode="&quot;$&quot;#,##0.00"/>
    <numFmt numFmtId="166" formatCode="0.0%"/>
    <numFmt numFmtId="167" formatCode="&quot;$&quot;#,##0"/>
    <numFmt numFmtId="168" formatCode="_(* #,##0_);_(* \(#,##0\);_(* &quot;-&quot;??_);_(@_)"/>
  </numFmts>
  <fonts count="52" x14ac:knownFonts="1">
    <font>
      <sz val="11"/>
      <color theme="1"/>
      <name val="Arial"/>
      <family val="2"/>
      <scheme val="minor"/>
    </font>
    <font>
      <sz val="11"/>
      <color theme="1"/>
      <name val="Arial"/>
      <family val="2"/>
    </font>
    <font>
      <sz val="11"/>
      <color theme="1"/>
      <name val="Arial"/>
      <family val="2"/>
      <scheme val="minor"/>
    </font>
    <font>
      <b/>
      <sz val="11"/>
      <color theme="1"/>
      <name val="Arial"/>
      <family val="2"/>
      <scheme val="minor"/>
    </font>
    <font>
      <b/>
      <sz val="14"/>
      <color theme="3"/>
      <name val="Arial"/>
      <family val="2"/>
      <scheme val="minor"/>
    </font>
    <font>
      <u/>
      <sz val="11"/>
      <color theme="10"/>
      <name val="Arial"/>
      <family val="2"/>
      <scheme val="minor"/>
    </font>
    <font>
      <b/>
      <sz val="12"/>
      <color theme="6" tint="-0.249977111117893"/>
      <name val="Arial"/>
      <family val="2"/>
      <scheme val="minor"/>
    </font>
    <font>
      <sz val="11"/>
      <name val="Arial"/>
      <family val="2"/>
      <scheme val="minor"/>
    </font>
    <font>
      <sz val="11"/>
      <color indexed="8"/>
      <name val="Calibri"/>
      <family val="2"/>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sz val="11"/>
      <color indexed="8"/>
      <name val="Arial"/>
      <family val="2"/>
      <scheme val="minor"/>
    </font>
    <font>
      <sz val="11"/>
      <color indexed="9"/>
      <name val="Calibri"/>
      <family val="2"/>
    </font>
    <font>
      <b/>
      <u/>
      <sz val="11"/>
      <color theme="5"/>
      <name val="Arial"/>
      <family val="2"/>
      <scheme val="minor"/>
    </font>
    <font>
      <b/>
      <sz val="12"/>
      <color theme="6" tint="-0.249977111117893"/>
      <name val="Arial"/>
      <family val="2"/>
    </font>
    <font>
      <b/>
      <sz val="12"/>
      <color theme="1"/>
      <name val="Arial"/>
      <family val="2"/>
    </font>
    <font>
      <sz val="12"/>
      <color theme="1"/>
      <name val="Arial"/>
      <family val="2"/>
    </font>
    <font>
      <b/>
      <sz val="12"/>
      <name val="Arial"/>
      <family val="2"/>
    </font>
    <font>
      <sz val="12"/>
      <name val="Arial"/>
      <family val="2"/>
    </font>
    <font>
      <b/>
      <sz val="12"/>
      <color rgb="FFFF0000"/>
      <name val="Arial"/>
      <family val="2"/>
    </font>
    <font>
      <u/>
      <sz val="12"/>
      <color theme="10"/>
      <name val="Arial"/>
      <family val="2"/>
    </font>
    <font>
      <b/>
      <sz val="16"/>
      <color theme="3"/>
      <name val="Arial"/>
      <family val="2"/>
    </font>
    <font>
      <sz val="16"/>
      <color theme="1"/>
      <name val="Arial"/>
      <family val="2"/>
    </font>
    <font>
      <b/>
      <sz val="16"/>
      <color rgb="FF11366E"/>
      <name val="Arial"/>
      <family val="2"/>
    </font>
    <font>
      <b/>
      <sz val="12"/>
      <color rgb="FF11366E"/>
      <name val="Arial"/>
      <family val="2"/>
    </font>
    <font>
      <b/>
      <i/>
      <sz val="12"/>
      <color rgb="FF11366E"/>
      <name val="Arial"/>
      <family val="2"/>
    </font>
    <font>
      <b/>
      <sz val="12"/>
      <color theme="0"/>
      <name val="Arial"/>
      <family val="2"/>
    </font>
    <font>
      <sz val="12"/>
      <color rgb="FFFF0000"/>
      <name val="Arial"/>
      <family val="2"/>
    </font>
    <font>
      <b/>
      <sz val="11"/>
      <color theme="0"/>
      <name val="Arial"/>
      <family val="2"/>
    </font>
    <font>
      <b/>
      <u/>
      <sz val="12"/>
      <color theme="10"/>
      <name val="Arial"/>
      <family val="2"/>
    </font>
    <font>
      <b/>
      <i/>
      <sz val="12"/>
      <color theme="6" tint="-0.249977111117893"/>
      <name val="Arial"/>
      <family val="2"/>
    </font>
    <font>
      <sz val="12"/>
      <name val="Arial"/>
      <family val="2"/>
    </font>
    <font>
      <b/>
      <sz val="12"/>
      <color theme="0"/>
      <name val="Arial"/>
      <family val="2"/>
    </font>
    <font>
      <sz val="12"/>
      <color theme="1"/>
      <name val="Arial"/>
      <family val="2"/>
    </font>
    <font>
      <b/>
      <sz val="12"/>
      <color theme="1"/>
      <name val="Arial"/>
      <family val="2"/>
    </font>
    <font>
      <sz val="12"/>
      <color rgb="FF000000"/>
      <name val="Arial"/>
      <family val="2"/>
    </font>
    <font>
      <sz val="9"/>
      <color rgb="FF000000"/>
      <name val="Calibri"/>
      <family val="2"/>
    </font>
    <font>
      <b/>
      <i/>
      <sz val="11"/>
      <color theme="1"/>
      <name val="Arial"/>
      <family val="2"/>
      <scheme val="minor"/>
    </font>
    <font>
      <b/>
      <u/>
      <sz val="11"/>
      <color theme="1"/>
      <name val="Arial"/>
      <family val="2"/>
      <scheme val="minor"/>
    </font>
  </fonts>
  <fills count="4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B9BD5"/>
        <bgColor indexed="64"/>
      </patternFill>
    </fill>
    <fill>
      <patternFill patternType="solid">
        <fgColor rgb="FF004891"/>
        <bgColor indexed="64"/>
      </patternFill>
    </fill>
    <fill>
      <patternFill patternType="solid">
        <fgColor rgb="FFB42E34"/>
        <bgColor indexed="64"/>
      </patternFill>
    </fill>
    <fill>
      <patternFill patternType="solid">
        <fgColor rgb="FF197544"/>
        <bgColor indexed="64"/>
      </patternFill>
    </fill>
    <fill>
      <patternFill patternType="solid">
        <fgColor rgb="FF5333A8"/>
        <bgColor indexed="64"/>
      </patternFill>
    </fill>
    <fill>
      <patternFill patternType="solid">
        <fgColor rgb="FF595959"/>
        <bgColor indexed="64"/>
      </patternFill>
    </fill>
    <fill>
      <patternFill patternType="solid">
        <fgColor theme="0" tint="-0.249977111117893"/>
        <bgColor indexed="64"/>
      </patternFill>
    </fill>
    <fill>
      <patternFill patternType="solid">
        <fgColor rgb="FFA85400"/>
        <bgColor indexed="64"/>
      </patternFill>
    </fill>
    <fill>
      <patternFill patternType="solid">
        <fgColor rgb="FF11366E"/>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auto="1"/>
      </left>
      <right style="thin">
        <color auto="1"/>
      </right>
      <top/>
      <bottom/>
      <diagonal/>
    </border>
    <border>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thin">
        <color auto="1"/>
      </right>
      <top style="thin">
        <color auto="1"/>
      </top>
      <bottom style="thin">
        <color theme="1"/>
      </bottom>
      <diagonal/>
    </border>
    <border>
      <left style="thin">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style="thin">
        <color auto="1"/>
      </right>
      <top style="thin">
        <color theme="1"/>
      </top>
      <bottom style="thin">
        <color auto="1"/>
      </bottom>
      <diagonal/>
    </border>
    <border>
      <left/>
      <right style="thin">
        <color indexed="64"/>
      </right>
      <top/>
      <bottom style="thin">
        <color indexed="64"/>
      </bottom>
      <diagonal/>
    </border>
    <border>
      <left/>
      <right/>
      <top style="thin">
        <color auto="1"/>
      </top>
      <bottom/>
      <diagonal/>
    </border>
  </borders>
  <cellStyleXfs count="70">
    <xf numFmtId="0" fontId="0" fillId="0" borderId="0"/>
    <xf numFmtId="44" fontId="2" fillId="0" borderId="0" applyFon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2" fillId="9" borderId="15" applyNumberFormat="0" applyFont="0" applyAlignment="0" applyProtection="0"/>
    <xf numFmtId="0" fontId="22" fillId="0" borderId="0" applyNumberFormat="0" applyFill="0" applyBorder="0" applyAlignment="0" applyProtection="0"/>
    <xf numFmtId="0" fontId="3" fillId="0" borderId="16"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4" fillId="0" borderId="0"/>
    <xf numFmtId="0" fontId="24" fillId="0" borderId="0"/>
    <xf numFmtId="0" fontId="8" fillId="0" borderId="0"/>
    <xf numFmtId="0" fontId="25" fillId="34" borderId="0" applyNumberFormat="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9" borderId="15" applyNumberFormat="0" applyFont="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252">
    <xf numFmtId="0" fontId="0" fillId="0" borderId="0" xfId="0"/>
    <xf numFmtId="0" fontId="0" fillId="2" borderId="0" xfId="0" applyFill="1"/>
    <xf numFmtId="0" fontId="4" fillId="0" borderId="0" xfId="0" applyFont="1"/>
    <xf numFmtId="0" fontId="6" fillId="0" borderId="0" xfId="0" applyFont="1"/>
    <xf numFmtId="0" fontId="6" fillId="0" borderId="0" xfId="0" applyFont="1" applyAlignment="1">
      <alignment vertical="top"/>
    </xf>
    <xf numFmtId="0" fontId="6" fillId="0" borderId="0" xfId="0" applyFont="1" applyAlignment="1">
      <alignment vertical="top" wrapText="1"/>
    </xf>
    <xf numFmtId="0" fontId="21" fillId="0" borderId="0" xfId="0" applyFont="1"/>
    <xf numFmtId="165" fontId="0" fillId="0" borderId="0" xfId="0" applyNumberFormat="1"/>
    <xf numFmtId="0" fontId="7" fillId="0" borderId="0" xfId="0" applyFont="1"/>
    <xf numFmtId="0" fontId="3" fillId="2" borderId="17" xfId="0" applyFont="1" applyFill="1" applyBorder="1"/>
    <xf numFmtId="0" fontId="0" fillId="2" borderId="17" xfId="0" applyFill="1" applyBorder="1"/>
    <xf numFmtId="0" fontId="0" fillId="2" borderId="0" xfId="0" applyFill="1" applyAlignment="1">
      <alignment horizontal="left"/>
    </xf>
    <xf numFmtId="0" fontId="5" fillId="2" borderId="0" xfId="2" applyFill="1"/>
    <xf numFmtId="164" fontId="27" fillId="0" borderId="0" xfId="0" applyNumberFormat="1" applyFont="1" applyAlignment="1">
      <alignment horizontal="left" vertical="center"/>
    </xf>
    <xf numFmtId="0" fontId="28" fillId="0" borderId="0" xfId="0" applyFont="1"/>
    <xf numFmtId="0" fontId="29" fillId="0" borderId="0" xfId="0" applyFont="1"/>
    <xf numFmtId="0" fontId="29" fillId="0" borderId="1" xfId="0" applyFont="1" applyBorder="1"/>
    <xf numFmtId="167" fontId="29" fillId="0" borderId="1" xfId="1" applyNumberFormat="1" applyFont="1" applyFill="1" applyBorder="1"/>
    <xf numFmtId="166" fontId="29" fillId="0" borderId="1" xfId="0" applyNumberFormat="1" applyFont="1" applyBorder="1"/>
    <xf numFmtId="167" fontId="29" fillId="0" borderId="1" xfId="1" applyNumberFormat="1" applyFont="1" applyBorder="1"/>
    <xf numFmtId="0" fontId="31" fillId="0" borderId="1" xfId="0" applyFont="1" applyBorder="1"/>
    <xf numFmtId="0" fontId="27" fillId="0" borderId="0" xfId="0" applyFont="1"/>
    <xf numFmtId="0" fontId="27" fillId="0" borderId="0" xfId="0" applyFont="1" applyAlignment="1">
      <alignment vertical="top"/>
    </xf>
    <xf numFmtId="0" fontId="27" fillId="0" borderId="0" xfId="0" applyFont="1" applyAlignment="1">
      <alignment vertical="top" wrapText="1"/>
    </xf>
    <xf numFmtId="4" fontId="29" fillId="0" borderId="0" xfId="0" applyNumberFormat="1" applyFont="1"/>
    <xf numFmtId="166" fontId="28" fillId="0" borderId="0" xfId="0" applyNumberFormat="1" applyFont="1"/>
    <xf numFmtId="0" fontId="32" fillId="0" borderId="1" xfId="0" applyFont="1" applyBorder="1"/>
    <xf numFmtId="167" fontId="29" fillId="0" borderId="0" xfId="0" applyNumberFormat="1" applyFont="1"/>
    <xf numFmtId="0" fontId="32" fillId="0" borderId="0" xfId="0" applyFont="1"/>
    <xf numFmtId="166" fontId="29" fillId="0" borderId="0" xfId="68" applyNumberFormat="1" applyFont="1"/>
    <xf numFmtId="0" fontId="31" fillId="0" borderId="1" xfId="2" applyFont="1" applyFill="1" applyBorder="1"/>
    <xf numFmtId="167" fontId="29" fillId="0" borderId="1" xfId="0" applyNumberFormat="1" applyFont="1" applyBorder="1" applyAlignment="1">
      <alignment horizontal="right"/>
    </xf>
    <xf numFmtId="3" fontId="29" fillId="0" borderId="1" xfId="1" applyNumberFormat="1" applyFont="1" applyBorder="1"/>
    <xf numFmtId="3" fontId="29" fillId="0" borderId="1" xfId="1" applyNumberFormat="1" applyFont="1" applyBorder="1" applyAlignment="1">
      <alignment horizontal="right"/>
    </xf>
    <xf numFmtId="0" fontId="33" fillId="0" borderId="0" xfId="2" applyFont="1" applyBorder="1"/>
    <xf numFmtId="3" fontId="29" fillId="0" borderId="0" xfId="1" applyNumberFormat="1" applyFont="1" applyBorder="1"/>
    <xf numFmtId="166" fontId="29" fillId="0" borderId="0" xfId="0" applyNumberFormat="1" applyFont="1"/>
    <xf numFmtId="0" fontId="33" fillId="0" borderId="1" xfId="2" applyFont="1" applyBorder="1"/>
    <xf numFmtId="0" fontId="34" fillId="0" borderId="0" xfId="0" applyFont="1"/>
    <xf numFmtId="0" fontId="35" fillId="0" borderId="0" xfId="0" applyFont="1"/>
    <xf numFmtId="0" fontId="36" fillId="0" borderId="0" xfId="0" applyFont="1"/>
    <xf numFmtId="164" fontId="37" fillId="0" borderId="0" xfId="0" applyNumberFormat="1" applyFont="1" applyAlignment="1">
      <alignment horizontal="left" vertical="center"/>
    </xf>
    <xf numFmtId="164" fontId="38" fillId="0" borderId="0" xfId="0" applyNumberFormat="1" applyFont="1" applyAlignment="1">
      <alignment horizontal="left" vertical="center"/>
    </xf>
    <xf numFmtId="167" fontId="31" fillId="0" borderId="1" xfId="1" applyNumberFormat="1" applyFont="1" applyFill="1" applyBorder="1"/>
    <xf numFmtId="0" fontId="40" fillId="0" borderId="1" xfId="0" applyFont="1" applyBorder="1"/>
    <xf numFmtId="0" fontId="30" fillId="0" borderId="1" xfId="0" applyFont="1" applyBorder="1"/>
    <xf numFmtId="167" fontId="28" fillId="0" borderId="1" xfId="0" applyNumberFormat="1" applyFont="1" applyBorder="1"/>
    <xf numFmtId="166" fontId="28" fillId="0" borderId="1" xfId="0" applyNumberFormat="1" applyFont="1" applyBorder="1"/>
    <xf numFmtId="0" fontId="29" fillId="0" borderId="0" xfId="0" applyFont="1" applyAlignment="1">
      <alignment horizontal="center"/>
    </xf>
    <xf numFmtId="3" fontId="29" fillId="0" borderId="1" xfId="0" applyNumberFormat="1" applyFont="1" applyBorder="1"/>
    <xf numFmtId="3" fontId="29" fillId="0" borderId="1" xfId="0" applyNumberFormat="1" applyFont="1" applyBorder="1" applyAlignment="1">
      <alignment horizontal="right"/>
    </xf>
    <xf numFmtId="3" fontId="28" fillId="0" borderId="1" xfId="0" applyNumberFormat="1" applyFont="1" applyBorder="1"/>
    <xf numFmtId="0" fontId="40" fillId="0" borderId="0" xfId="0" applyFont="1"/>
    <xf numFmtId="167" fontId="29" fillId="0" borderId="1" xfId="0" applyNumberFormat="1" applyFont="1" applyBorder="1"/>
    <xf numFmtId="0" fontId="28" fillId="0" borderId="1" xfId="0" applyFont="1" applyBorder="1"/>
    <xf numFmtId="3" fontId="28" fillId="0" borderId="1" xfId="1" applyNumberFormat="1" applyFont="1" applyBorder="1"/>
    <xf numFmtId="0" fontId="42" fillId="0" borderId="1" xfId="2" applyFont="1" applyBorder="1"/>
    <xf numFmtId="0" fontId="29" fillId="0" borderId="1" xfId="0" quotePrefix="1" applyFont="1" applyBorder="1"/>
    <xf numFmtId="0" fontId="43" fillId="0" borderId="0" xfId="0" applyFont="1" applyAlignment="1">
      <alignment vertical="top"/>
    </xf>
    <xf numFmtId="0" fontId="39" fillId="36" borderId="1" xfId="0" applyFont="1" applyFill="1" applyBorder="1" applyAlignment="1">
      <alignment horizontal="center"/>
    </xf>
    <xf numFmtId="0" fontId="39" fillId="36" borderId="3" xfId="0" applyFont="1" applyFill="1" applyBorder="1" applyAlignment="1">
      <alignment horizontal="center"/>
    </xf>
    <xf numFmtId="0" fontId="44" fillId="0" borderId="1" xfId="2" applyFont="1" applyBorder="1"/>
    <xf numFmtId="167" fontId="46" fillId="0" borderId="1" xfId="1" applyNumberFormat="1" applyFont="1" applyBorder="1"/>
    <xf numFmtId="0" fontId="44" fillId="0" borderId="1" xfId="0" applyFont="1" applyBorder="1"/>
    <xf numFmtId="3" fontId="29" fillId="0" borderId="1" xfId="1" quotePrefix="1" applyNumberFormat="1" applyFont="1" applyBorder="1" applyAlignment="1">
      <alignment horizontal="center"/>
    </xf>
    <xf numFmtId="0" fontId="31" fillId="0" borderId="1" xfId="0" applyFont="1" applyBorder="1" applyAlignment="1">
      <alignment wrapText="1"/>
    </xf>
    <xf numFmtId="44" fontId="0" fillId="0" borderId="0" xfId="1" applyFont="1"/>
    <xf numFmtId="0" fontId="39" fillId="35" borderId="3" xfId="0" applyFont="1" applyFill="1" applyBorder="1" applyAlignment="1">
      <alignment horizontal="center"/>
    </xf>
    <xf numFmtId="0" fontId="39" fillId="35" borderId="1" xfId="0" applyFont="1" applyFill="1" applyBorder="1" applyAlignment="1">
      <alignment horizontal="center"/>
    </xf>
    <xf numFmtId="6" fontId="48" fillId="0" borderId="0" xfId="0" applyNumberFormat="1" applyFont="1"/>
    <xf numFmtId="167" fontId="28" fillId="0" borderId="0" xfId="0" applyNumberFormat="1" applyFont="1"/>
    <xf numFmtId="167" fontId="46" fillId="0" borderId="0" xfId="1" applyNumberFormat="1" applyFont="1" applyBorder="1"/>
    <xf numFmtId="167" fontId="28" fillId="0" borderId="1" xfId="1" applyNumberFormat="1" applyFont="1" applyBorder="1"/>
    <xf numFmtId="0" fontId="39" fillId="37" borderId="3" xfId="0" applyFont="1" applyFill="1" applyBorder="1" applyAlignment="1">
      <alignment horizontal="center"/>
    </xf>
    <xf numFmtId="0" fontId="39" fillId="37" borderId="1" xfId="0" applyFont="1" applyFill="1" applyBorder="1" applyAlignment="1">
      <alignment horizontal="center"/>
    </xf>
    <xf numFmtId="0" fontId="41" fillId="38" borderId="3" xfId="0" applyFont="1" applyFill="1" applyBorder="1" applyAlignment="1">
      <alignment horizontal="center"/>
    </xf>
    <xf numFmtId="0" fontId="41" fillId="38" borderId="1" xfId="0" applyFont="1" applyFill="1" applyBorder="1" applyAlignment="1">
      <alignment horizontal="center"/>
    </xf>
    <xf numFmtId="0" fontId="39" fillId="38" borderId="3" xfId="0" applyFont="1" applyFill="1" applyBorder="1" applyAlignment="1">
      <alignment horizontal="center"/>
    </xf>
    <xf numFmtId="0" fontId="39" fillId="38" borderId="1" xfId="0" applyFont="1" applyFill="1" applyBorder="1" applyAlignment="1">
      <alignment horizontal="center"/>
    </xf>
    <xf numFmtId="0" fontId="39" fillId="39" borderId="3" xfId="0" applyFont="1" applyFill="1" applyBorder="1" applyAlignment="1">
      <alignment horizontal="center"/>
    </xf>
    <xf numFmtId="0" fontId="39" fillId="39" borderId="1" xfId="0" applyFont="1" applyFill="1" applyBorder="1" applyAlignment="1">
      <alignment horizontal="center"/>
    </xf>
    <xf numFmtId="166" fontId="28" fillId="0" borderId="1" xfId="68" applyNumberFormat="1" applyFont="1" applyFill="1" applyBorder="1" applyAlignment="1">
      <alignment horizontal="center"/>
    </xf>
    <xf numFmtId="10" fontId="0" fillId="0" borderId="0" xfId="0" applyNumberFormat="1"/>
    <xf numFmtId="166" fontId="46" fillId="0" borderId="1" xfId="0" applyNumberFormat="1" applyFont="1" applyBorder="1"/>
    <xf numFmtId="38" fontId="49" fillId="0" borderId="0" xfId="0" applyNumberFormat="1" applyFont="1" applyAlignment="1">
      <alignment horizontal="right" vertical="center" wrapText="1"/>
    </xf>
    <xf numFmtId="0" fontId="5" fillId="0" borderId="0" xfId="2"/>
    <xf numFmtId="167" fontId="28" fillId="0" borderId="1" xfId="1" applyNumberFormat="1" applyFont="1" applyFill="1" applyBorder="1" applyAlignment="1">
      <alignment horizontal="center"/>
    </xf>
    <xf numFmtId="0" fontId="3" fillId="0" borderId="0" xfId="0" applyFont="1"/>
    <xf numFmtId="167" fontId="31" fillId="0" borderId="1" xfId="1" applyNumberFormat="1" applyFont="1" applyBorder="1"/>
    <xf numFmtId="0" fontId="36" fillId="0" borderId="0" xfId="0" applyFont="1" applyAlignment="1">
      <alignment horizontal="center"/>
    </xf>
    <xf numFmtId="164" fontId="37" fillId="0" borderId="0" xfId="0" applyNumberFormat="1" applyFont="1" applyAlignment="1">
      <alignment horizontal="center" vertical="center"/>
    </xf>
    <xf numFmtId="0" fontId="27" fillId="0" borderId="0" xfId="0" applyFont="1" applyAlignment="1">
      <alignment horizontal="center" vertical="top" wrapText="1"/>
    </xf>
    <xf numFmtId="167" fontId="29" fillId="0" borderId="1" xfId="1" applyNumberFormat="1" applyFont="1" applyFill="1" applyBorder="1" applyAlignment="1">
      <alignment horizontal="center"/>
    </xf>
    <xf numFmtId="167" fontId="28" fillId="0" borderId="0" xfId="0" applyNumberFormat="1" applyFont="1" applyAlignment="1">
      <alignment horizontal="center"/>
    </xf>
    <xf numFmtId="0" fontId="29" fillId="0" borderId="2" xfId="0" applyFont="1" applyBorder="1"/>
    <xf numFmtId="166" fontId="47" fillId="0" borderId="1" xfId="68" applyNumberFormat="1" applyFont="1" applyBorder="1" applyAlignment="1">
      <alignment horizontal="center"/>
    </xf>
    <xf numFmtId="166" fontId="28" fillId="0" borderId="1" xfId="68" applyNumberFormat="1" applyFont="1" applyBorder="1" applyAlignment="1">
      <alignment horizontal="center"/>
    </xf>
    <xf numFmtId="166" fontId="47" fillId="40" borderId="1" xfId="68" applyNumberFormat="1" applyFont="1" applyFill="1" applyBorder="1" applyAlignment="1">
      <alignment horizontal="center"/>
    </xf>
    <xf numFmtId="3" fontId="29" fillId="0" borderId="1" xfId="1" applyNumberFormat="1" applyFont="1" applyFill="1" applyBorder="1"/>
    <xf numFmtId="167" fontId="29" fillId="0" borderId="1" xfId="1" applyNumberFormat="1" applyFont="1" applyBorder="1" applyAlignment="1">
      <alignment horizontal="right"/>
    </xf>
    <xf numFmtId="3" fontId="28" fillId="0" borderId="1" xfId="0" applyNumberFormat="1" applyFont="1" applyBorder="1" applyAlignment="1">
      <alignment horizontal="right"/>
    </xf>
    <xf numFmtId="2" fontId="0" fillId="0" borderId="0" xfId="68" applyNumberFormat="1" applyFont="1"/>
    <xf numFmtId="0" fontId="31" fillId="0" borderId="0" xfId="0" applyFont="1"/>
    <xf numFmtId="0" fontId="30" fillId="0" borderId="1" xfId="0" applyFont="1" applyBorder="1" applyAlignment="1">
      <alignment wrapText="1"/>
    </xf>
    <xf numFmtId="3" fontId="28" fillId="0" borderId="2" xfId="1" applyNumberFormat="1" applyFont="1" applyBorder="1"/>
    <xf numFmtId="0" fontId="30" fillId="0" borderId="1" xfId="2" applyFont="1" applyFill="1" applyBorder="1"/>
    <xf numFmtId="167" fontId="28" fillId="0" borderId="1" xfId="1" applyNumberFormat="1" applyFont="1" applyFill="1" applyBorder="1"/>
    <xf numFmtId="167" fontId="28" fillId="0" borderId="1" xfId="0" applyNumberFormat="1" applyFont="1" applyBorder="1" applyAlignment="1">
      <alignment horizontal="right"/>
    </xf>
    <xf numFmtId="167" fontId="29" fillId="0" borderId="1" xfId="1" quotePrefix="1" applyNumberFormat="1" applyFont="1" applyBorder="1"/>
    <xf numFmtId="167" fontId="0" fillId="0" borderId="0" xfId="0" applyNumberFormat="1"/>
    <xf numFmtId="167" fontId="29" fillId="0" borderId="0" xfId="68" applyNumberFormat="1" applyFont="1"/>
    <xf numFmtId="0" fontId="39" fillId="41" borderId="3" xfId="0" applyFont="1" applyFill="1" applyBorder="1" applyAlignment="1">
      <alignment horizontal="center"/>
    </xf>
    <xf numFmtId="0" fontId="39" fillId="41" borderId="1" xfId="0" applyFont="1" applyFill="1" applyBorder="1" applyAlignment="1">
      <alignment horizontal="center"/>
    </xf>
    <xf numFmtId="0" fontId="45" fillId="39" borderId="1" xfId="0" applyFont="1" applyFill="1" applyBorder="1" applyAlignment="1">
      <alignment horizontal="center"/>
    </xf>
    <xf numFmtId="0" fontId="45" fillId="39" borderId="3" xfId="0" applyFont="1" applyFill="1" applyBorder="1" applyAlignment="1">
      <alignment horizontal="center"/>
    </xf>
    <xf numFmtId="0" fontId="0" fillId="0" borderId="0" xfId="0" applyAlignment="1">
      <alignment horizontal="left" vertical="top" wrapText="1"/>
    </xf>
    <xf numFmtId="0" fontId="0" fillId="0" borderId="17" xfId="0" applyBorder="1"/>
    <xf numFmtId="0" fontId="0" fillId="0" borderId="17" xfId="0" applyBorder="1" applyAlignment="1">
      <alignment horizontal="left" vertical="top" wrapText="1"/>
    </xf>
    <xf numFmtId="0" fontId="50" fillId="0" borderId="17" xfId="0" applyFont="1" applyBorder="1" applyAlignment="1">
      <alignment horizontal="left" vertical="top"/>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20" fillId="42" borderId="0" xfId="0" applyFont="1" applyFill="1"/>
    <xf numFmtId="0" fontId="20" fillId="42" borderId="0" xfId="0" applyFont="1" applyFill="1" applyAlignment="1">
      <alignment horizontal="center"/>
    </xf>
    <xf numFmtId="0" fontId="20" fillId="42" borderId="1" xfId="0" applyFont="1" applyFill="1" applyBorder="1"/>
    <xf numFmtId="0" fontId="39" fillId="35" borderId="5" xfId="0" applyFont="1" applyFill="1" applyBorder="1" applyAlignment="1">
      <alignment horizontal="center"/>
    </xf>
    <xf numFmtId="168" fontId="29" fillId="0" borderId="0" xfId="0" applyNumberFormat="1" applyFont="1"/>
    <xf numFmtId="0" fontId="39" fillId="37" borderId="5" xfId="0" applyFont="1" applyFill="1" applyBorder="1" applyAlignment="1">
      <alignment horizontal="center" vertical="center" wrapText="1"/>
    </xf>
    <xf numFmtId="0" fontId="39" fillId="37" borderId="3" xfId="0" applyFont="1" applyFill="1" applyBorder="1" applyAlignment="1">
      <alignment horizontal="center" vertical="center" wrapText="1"/>
    </xf>
    <xf numFmtId="0" fontId="45" fillId="37" borderId="1" xfId="0" applyFont="1" applyFill="1" applyBorder="1" applyAlignment="1">
      <alignment horizontal="center" vertical="center" wrapText="1"/>
    </xf>
    <xf numFmtId="0" fontId="39" fillId="38" borderId="2" xfId="0" applyFont="1" applyFill="1" applyBorder="1" applyAlignment="1">
      <alignment horizontal="center" vertical="center" wrapText="1"/>
    </xf>
    <xf numFmtId="0" fontId="39" fillId="38" borderId="3"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39" fillId="41" borderId="5" xfId="0" applyFont="1" applyFill="1" applyBorder="1" applyAlignment="1">
      <alignment horizontal="center" vertical="center" wrapText="1"/>
    </xf>
    <xf numFmtId="0" fontId="39" fillId="41" borderId="1" xfId="0" applyFont="1" applyFill="1" applyBorder="1" applyAlignment="1">
      <alignment horizontal="center" vertical="center"/>
    </xf>
    <xf numFmtId="0" fontId="39" fillId="35" borderId="19" xfId="0" applyFont="1" applyFill="1" applyBorder="1" applyAlignment="1">
      <alignment horizontal="center"/>
    </xf>
    <xf numFmtId="167" fontId="29" fillId="0" borderId="5" xfId="1" applyNumberFormat="1" applyFont="1" applyBorder="1"/>
    <xf numFmtId="167" fontId="29" fillId="0" borderId="18" xfId="1" applyNumberFormat="1" applyFont="1" applyBorder="1"/>
    <xf numFmtId="167" fontId="31" fillId="0" borderId="18" xfId="1" applyNumberFormat="1" applyFont="1" applyBorder="1"/>
    <xf numFmtId="167" fontId="29" fillId="0" borderId="2" xfId="1" applyNumberFormat="1" applyFont="1" applyBorder="1"/>
    <xf numFmtId="168" fontId="29" fillId="0" borderId="5" xfId="69" applyNumberFormat="1" applyFont="1" applyBorder="1"/>
    <xf numFmtId="168" fontId="29" fillId="0" borderId="18" xfId="69" applyNumberFormat="1" applyFont="1" applyBorder="1"/>
    <xf numFmtId="168" fontId="31" fillId="0" borderId="18" xfId="69" applyNumberFormat="1" applyFont="1" applyBorder="1"/>
    <xf numFmtId="166" fontId="29" fillId="0" borderId="5" xfId="0" applyNumberFormat="1" applyFont="1" applyBorder="1"/>
    <xf numFmtId="166" fontId="29" fillId="0" borderId="18" xfId="0" applyNumberFormat="1" applyFont="1" applyBorder="1"/>
    <xf numFmtId="166" fontId="31" fillId="0" borderId="18" xfId="0" applyNumberFormat="1" applyFont="1" applyBorder="1"/>
    <xf numFmtId="167" fontId="29" fillId="0" borderId="6" xfId="1" applyNumberFormat="1" applyFont="1" applyBorder="1"/>
    <xf numFmtId="167" fontId="29" fillId="0" borderId="23" xfId="1" applyNumberFormat="1" applyFont="1" applyBorder="1"/>
    <xf numFmtId="167" fontId="31" fillId="0" borderId="23" xfId="1" applyNumberFormat="1" applyFont="1" applyBorder="1"/>
    <xf numFmtId="167" fontId="29" fillId="0" borderId="7" xfId="1" applyNumberFormat="1" applyFont="1" applyBorder="1"/>
    <xf numFmtId="0" fontId="39" fillId="35" borderId="24" xfId="0" applyFont="1" applyFill="1" applyBorder="1" applyAlignment="1">
      <alignment horizontal="center"/>
    </xf>
    <xf numFmtId="0" fontId="39" fillId="35" borderId="25" xfId="0" applyFont="1" applyFill="1" applyBorder="1" applyAlignment="1">
      <alignment horizontal="center"/>
    </xf>
    <xf numFmtId="167" fontId="29" fillId="0" borderId="26" xfId="1" applyNumberFormat="1" applyFont="1" applyBorder="1"/>
    <xf numFmtId="167" fontId="29" fillId="0" borderId="25" xfId="1" applyNumberFormat="1" applyFont="1" applyBorder="1"/>
    <xf numFmtId="167" fontId="29" fillId="0" borderId="27" xfId="1" applyNumberFormat="1" applyFont="1" applyBorder="1"/>
    <xf numFmtId="167" fontId="29" fillId="0" borderId="28" xfId="1" applyNumberFormat="1" applyFont="1" applyBorder="1"/>
    <xf numFmtId="167" fontId="31" fillId="0" borderId="27" xfId="1" applyNumberFormat="1" applyFont="1" applyBorder="1"/>
    <xf numFmtId="167" fontId="31" fillId="0" borderId="28" xfId="1" applyNumberFormat="1" applyFont="1" applyBorder="1"/>
    <xf numFmtId="167" fontId="29" fillId="0" borderId="29" xfId="1" applyNumberFormat="1" applyFont="1" applyBorder="1"/>
    <xf numFmtId="168" fontId="29" fillId="0" borderId="30" xfId="69" applyNumberFormat="1" applyFont="1" applyBorder="1"/>
    <xf numFmtId="167" fontId="29" fillId="0" borderId="31" xfId="1" applyNumberFormat="1" applyFont="1" applyBorder="1"/>
    <xf numFmtId="0" fontId="39" fillId="35" borderId="26" xfId="0" applyFont="1" applyFill="1" applyBorder="1" applyAlignment="1">
      <alignment horizontal="center"/>
    </xf>
    <xf numFmtId="0" fontId="45" fillId="35" borderId="25" xfId="0" applyFont="1" applyFill="1" applyBorder="1" applyAlignment="1">
      <alignment horizontal="center"/>
    </xf>
    <xf numFmtId="166" fontId="29" fillId="0" borderId="26" xfId="0" applyNumberFormat="1" applyFont="1" applyBorder="1"/>
    <xf numFmtId="166" fontId="29" fillId="0" borderId="25" xfId="0" applyNumberFormat="1" applyFont="1" applyBorder="1"/>
    <xf numFmtId="166" fontId="29" fillId="0" borderId="27" xfId="0" applyNumberFormat="1" applyFont="1" applyBorder="1"/>
    <xf numFmtId="166" fontId="29" fillId="0" borderId="28" xfId="0" applyNumberFormat="1" applyFont="1" applyBorder="1"/>
    <xf numFmtId="166" fontId="31" fillId="0" borderId="27" xfId="0" applyNumberFormat="1" applyFont="1" applyBorder="1"/>
    <xf numFmtId="166" fontId="31" fillId="0" borderId="28" xfId="0" applyNumberFormat="1" applyFont="1" applyBorder="1"/>
    <xf numFmtId="166" fontId="29" fillId="0" borderId="29" xfId="0" applyNumberFormat="1" applyFont="1" applyBorder="1"/>
    <xf numFmtId="166" fontId="29" fillId="0" borderId="30" xfId="0" applyNumberFormat="1" applyFont="1" applyBorder="1"/>
    <xf numFmtId="166" fontId="29" fillId="0" borderId="31" xfId="0" applyNumberFormat="1" applyFont="1" applyBorder="1"/>
    <xf numFmtId="167" fontId="31" fillId="0" borderId="0" xfId="1" applyNumberFormat="1" applyFont="1" applyFill="1" applyBorder="1"/>
    <xf numFmtId="0" fontId="1" fillId="0" borderId="0" xfId="0" applyFont="1"/>
    <xf numFmtId="166" fontId="29" fillId="0" borderId="1" xfId="68" applyNumberFormat="1" applyFont="1" applyBorder="1"/>
    <xf numFmtId="166" fontId="28" fillId="0" borderId="1" xfId="68" applyNumberFormat="1" applyFont="1" applyBorder="1"/>
    <xf numFmtId="0" fontId="29" fillId="0" borderId="32" xfId="0" applyFont="1" applyBorder="1"/>
    <xf numFmtId="167" fontId="46" fillId="0" borderId="33" xfId="1" applyNumberFormat="1" applyFont="1" applyBorder="1" applyAlignment="1">
      <alignment horizontal="center"/>
    </xf>
    <xf numFmtId="166" fontId="29" fillId="0" borderId="33" xfId="0" applyNumberFormat="1" applyFont="1" applyBorder="1"/>
    <xf numFmtId="0" fontId="32" fillId="0" borderId="34" xfId="0" applyFont="1" applyBorder="1"/>
    <xf numFmtId="0" fontId="29" fillId="0" borderId="35" xfId="0" applyFont="1" applyBorder="1"/>
    <xf numFmtId="166" fontId="29" fillId="0" borderId="36" xfId="0" applyNumberFormat="1" applyFont="1" applyBorder="1"/>
    <xf numFmtId="0" fontId="29" fillId="0" borderId="37" xfId="0" applyFont="1" applyBorder="1"/>
    <xf numFmtId="0" fontId="32" fillId="0" borderId="37" xfId="0" applyFont="1" applyBorder="1"/>
    <xf numFmtId="0" fontId="28" fillId="0" borderId="35" xfId="0" applyFont="1" applyBorder="1"/>
    <xf numFmtId="0" fontId="28" fillId="0" borderId="38" xfId="0" applyFont="1" applyBorder="1"/>
    <xf numFmtId="166" fontId="29" fillId="0" borderId="39" xfId="0" applyNumberFormat="1" applyFont="1" applyBorder="1"/>
    <xf numFmtId="0" fontId="29" fillId="0" borderId="40" xfId="0" applyFont="1" applyBorder="1"/>
    <xf numFmtId="0" fontId="39" fillId="39" borderId="3" xfId="0" applyFont="1" applyFill="1" applyBorder="1" applyAlignment="1">
      <alignment horizontal="center" vertical="center"/>
    </xf>
    <xf numFmtId="0" fontId="29" fillId="0" borderId="1" xfId="0" applyFont="1" applyBorder="1" applyAlignment="1">
      <alignment wrapText="1"/>
    </xf>
    <xf numFmtId="0" fontId="29" fillId="0" borderId="42" xfId="0" applyFont="1" applyBorder="1"/>
    <xf numFmtId="168" fontId="0" fillId="0" borderId="0" xfId="0" applyNumberFormat="1"/>
    <xf numFmtId="166" fontId="29" fillId="0" borderId="1" xfId="68" applyNumberFormat="1" applyFont="1" applyFill="1" applyBorder="1"/>
    <xf numFmtId="2" fontId="0" fillId="0" borderId="0" xfId="0" applyNumberFormat="1"/>
    <xf numFmtId="166" fontId="0" fillId="0" borderId="0" xfId="0" applyNumberFormat="1"/>
    <xf numFmtId="0" fontId="0" fillId="0" borderId="0" xfId="0" applyAlignment="1">
      <alignment horizontal="left" vertical="top" wrapText="1"/>
    </xf>
    <xf numFmtId="0" fontId="51" fillId="2" borderId="0" xfId="0" applyFont="1" applyFill="1" applyAlignment="1">
      <alignment horizontal="left"/>
    </xf>
    <xf numFmtId="0" fontId="3" fillId="2" borderId="0" xfId="0" applyFont="1" applyFill="1" applyAlignment="1">
      <alignment horizontal="left"/>
    </xf>
    <xf numFmtId="0" fontId="39" fillId="35" borderId="1" xfId="0" applyFont="1" applyFill="1" applyBorder="1" applyAlignment="1">
      <alignment horizontal="center"/>
    </xf>
    <xf numFmtId="0" fontId="39" fillId="35" borderId="3" xfId="0" applyFont="1" applyFill="1" applyBorder="1" applyAlignment="1">
      <alignment horizontal="center"/>
    </xf>
    <xf numFmtId="0" fontId="39" fillId="35" borderId="4" xfId="0" applyFont="1" applyFill="1" applyBorder="1" applyAlignment="1">
      <alignment horizontal="center"/>
    </xf>
    <xf numFmtId="0" fontId="39" fillId="35" borderId="5" xfId="0" applyFont="1" applyFill="1" applyBorder="1" applyAlignment="1">
      <alignment horizontal="center"/>
    </xf>
    <xf numFmtId="0" fontId="39" fillId="35" borderId="2" xfId="0" applyFont="1" applyFill="1" applyBorder="1" applyAlignment="1">
      <alignment horizontal="center"/>
    </xf>
    <xf numFmtId="0" fontId="39" fillId="37" borderId="1" xfId="0" applyFont="1" applyFill="1" applyBorder="1" applyAlignment="1">
      <alignment horizontal="center"/>
    </xf>
    <xf numFmtId="0" fontId="39" fillId="37" borderId="5" xfId="0" applyFont="1" applyFill="1" applyBorder="1" applyAlignment="1">
      <alignment horizontal="center"/>
    </xf>
    <xf numFmtId="0" fontId="39" fillId="37" borderId="2" xfId="0" applyFont="1" applyFill="1" applyBorder="1" applyAlignment="1">
      <alignment horizontal="center"/>
    </xf>
    <xf numFmtId="0" fontId="39" fillId="37" borderId="6" xfId="0" applyFont="1" applyFill="1" applyBorder="1" applyAlignment="1">
      <alignment horizontal="center"/>
    </xf>
    <xf numFmtId="0" fontId="39" fillId="37" borderId="7" xfId="0" applyFont="1" applyFill="1" applyBorder="1" applyAlignment="1">
      <alignment horizontal="center"/>
    </xf>
    <xf numFmtId="0" fontId="39" fillId="37" borderId="19" xfId="0" applyFont="1" applyFill="1" applyBorder="1" applyAlignment="1">
      <alignment horizontal="center"/>
    </xf>
    <xf numFmtId="0" fontId="39" fillId="37" borderId="41" xfId="0" applyFont="1" applyFill="1" applyBorder="1" applyAlignment="1">
      <alignment horizontal="center"/>
    </xf>
    <xf numFmtId="0" fontId="39" fillId="37" borderId="3" xfId="0" applyFont="1" applyFill="1" applyBorder="1" applyAlignment="1">
      <alignment horizontal="center"/>
    </xf>
    <xf numFmtId="0" fontId="39" fillId="37" borderId="4" xfId="0" applyFont="1" applyFill="1" applyBorder="1" applyAlignment="1">
      <alignment horizontal="center"/>
    </xf>
    <xf numFmtId="0" fontId="39" fillId="41" borderId="1" xfId="0" applyFont="1" applyFill="1" applyBorder="1" applyAlignment="1">
      <alignment horizontal="center"/>
    </xf>
    <xf numFmtId="0" fontId="39" fillId="41" borderId="5" xfId="0" applyFont="1" applyFill="1" applyBorder="1" applyAlignment="1">
      <alignment horizontal="center"/>
    </xf>
    <xf numFmtId="0" fontId="39" fillId="41" borderId="2" xfId="0" applyFont="1" applyFill="1" applyBorder="1" applyAlignment="1">
      <alignment horizontal="center"/>
    </xf>
    <xf numFmtId="0" fontId="39" fillId="38" borderId="1" xfId="0" applyFont="1" applyFill="1" applyBorder="1" applyAlignment="1">
      <alignment horizontal="center"/>
    </xf>
    <xf numFmtId="0" fontId="41" fillId="38" borderId="5" xfId="0" applyFont="1" applyFill="1" applyBorder="1" applyAlignment="1">
      <alignment horizontal="center"/>
    </xf>
    <xf numFmtId="0" fontId="41" fillId="38" borderId="2" xfId="0" applyFont="1" applyFill="1" applyBorder="1" applyAlignment="1">
      <alignment horizontal="center"/>
    </xf>
    <xf numFmtId="0" fontId="41" fillId="38" borderId="3" xfId="0" applyFont="1" applyFill="1" applyBorder="1" applyAlignment="1">
      <alignment horizontal="center"/>
    </xf>
    <xf numFmtId="0" fontId="41" fillId="38" borderId="4" xfId="0" applyFont="1" applyFill="1" applyBorder="1" applyAlignment="1">
      <alignment horizontal="center"/>
    </xf>
    <xf numFmtId="0" fontId="41" fillId="38" borderId="6" xfId="0" applyFont="1" applyFill="1" applyBorder="1" applyAlignment="1">
      <alignment horizontal="center"/>
    </xf>
    <xf numFmtId="0" fontId="41" fillId="38" borderId="7" xfId="0" applyFont="1" applyFill="1" applyBorder="1" applyAlignment="1">
      <alignment horizontal="center"/>
    </xf>
    <xf numFmtId="0" fontId="39" fillId="38" borderId="5" xfId="0" applyFont="1" applyFill="1" applyBorder="1" applyAlignment="1">
      <alignment horizontal="center"/>
    </xf>
    <xf numFmtId="0" fontId="39" fillId="38" borderId="2" xfId="0" applyFont="1" applyFill="1" applyBorder="1" applyAlignment="1">
      <alignment horizontal="center"/>
    </xf>
    <xf numFmtId="0" fontId="39" fillId="38" borderId="6" xfId="0" applyFont="1" applyFill="1" applyBorder="1" applyAlignment="1">
      <alignment horizontal="center"/>
    </xf>
    <xf numFmtId="0" fontId="39" fillId="38" borderId="7" xfId="0" applyFont="1" applyFill="1" applyBorder="1" applyAlignment="1">
      <alignment horizontal="center"/>
    </xf>
    <xf numFmtId="0" fontId="39" fillId="39" borderId="1" xfId="0" applyFont="1" applyFill="1" applyBorder="1" applyAlignment="1">
      <alignment horizontal="center"/>
    </xf>
    <xf numFmtId="0" fontId="39" fillId="39" borderId="5" xfId="0" applyFont="1" applyFill="1" applyBorder="1" applyAlignment="1">
      <alignment horizontal="center"/>
    </xf>
    <xf numFmtId="0" fontId="39" fillId="39" borderId="2" xfId="0" applyFont="1" applyFill="1" applyBorder="1" applyAlignment="1">
      <alignment horizontal="center"/>
    </xf>
    <xf numFmtId="0" fontId="39" fillId="39" borderId="3" xfId="0" applyFont="1" applyFill="1" applyBorder="1" applyAlignment="1">
      <alignment horizontal="center"/>
    </xf>
    <xf numFmtId="0" fontId="39" fillId="39" borderId="4" xfId="0" applyFont="1" applyFill="1" applyBorder="1" applyAlignment="1">
      <alignment horizontal="center"/>
    </xf>
    <xf numFmtId="0" fontId="39" fillId="39" borderId="1" xfId="0" applyFont="1" applyFill="1" applyBorder="1" applyAlignment="1">
      <alignment horizontal="center" vertical="center"/>
    </xf>
    <xf numFmtId="0" fontId="39" fillId="39" borderId="1" xfId="0" applyFont="1" applyFill="1" applyBorder="1" applyAlignment="1">
      <alignment horizontal="center" wrapText="1"/>
    </xf>
    <xf numFmtId="0" fontId="39" fillId="39" borderId="5" xfId="0" applyFont="1" applyFill="1" applyBorder="1" applyAlignment="1">
      <alignment horizontal="center" vertical="center"/>
    </xf>
    <xf numFmtId="0" fontId="39" fillId="39" borderId="2" xfId="0" applyFont="1" applyFill="1" applyBorder="1" applyAlignment="1">
      <alignment horizontal="center" vertical="center"/>
    </xf>
    <xf numFmtId="0" fontId="45" fillId="39" borderId="1" xfId="0" applyFont="1" applyFill="1" applyBorder="1" applyAlignment="1">
      <alignment horizontal="center"/>
    </xf>
    <xf numFmtId="0" fontId="45" fillId="39" borderId="5" xfId="0" applyFont="1" applyFill="1" applyBorder="1" applyAlignment="1">
      <alignment horizontal="center"/>
    </xf>
    <xf numFmtId="0" fontId="45" fillId="39" borderId="2" xfId="0" applyFont="1" applyFill="1" applyBorder="1" applyAlignment="1">
      <alignment horizontal="center"/>
    </xf>
    <xf numFmtId="0" fontId="39" fillId="35" borderId="18" xfId="0" applyFont="1" applyFill="1" applyBorder="1" applyAlignment="1">
      <alignment horizontal="center"/>
    </xf>
    <xf numFmtId="0" fontId="39" fillId="36" borderId="5" xfId="0" applyFont="1" applyFill="1" applyBorder="1" applyAlignment="1">
      <alignment horizontal="center"/>
    </xf>
    <xf numFmtId="0" fontId="39" fillId="36" borderId="2" xfId="0" applyFont="1" applyFill="1" applyBorder="1" applyAlignment="1">
      <alignment horizontal="center"/>
    </xf>
    <xf numFmtId="0" fontId="39" fillId="36" borderId="3" xfId="0" applyFont="1" applyFill="1" applyBorder="1" applyAlignment="1">
      <alignment horizontal="center"/>
    </xf>
    <xf numFmtId="0" fontId="39" fillId="36" borderId="4" xfId="0" applyFont="1" applyFill="1" applyBorder="1" applyAlignment="1">
      <alignment horizontal="center"/>
    </xf>
    <xf numFmtId="0" fontId="45" fillId="36" borderId="1" xfId="0" applyFont="1" applyFill="1" applyBorder="1" applyAlignment="1">
      <alignment horizontal="center"/>
    </xf>
    <xf numFmtId="0" fontId="39" fillId="35" borderId="5" xfId="0" applyFont="1" applyFill="1" applyBorder="1" applyAlignment="1">
      <alignment horizontal="center" wrapText="1"/>
    </xf>
    <xf numFmtId="0" fontId="39" fillId="35" borderId="2" xfId="0" applyFont="1" applyFill="1" applyBorder="1" applyAlignment="1">
      <alignment horizontal="center" wrapText="1"/>
    </xf>
    <xf numFmtId="0" fontId="39" fillId="35" borderId="6" xfId="0" applyFont="1" applyFill="1" applyBorder="1" applyAlignment="1">
      <alignment horizontal="center"/>
    </xf>
    <xf numFmtId="0" fontId="39" fillId="35" borderId="23" xfId="0" applyFont="1" applyFill="1" applyBorder="1" applyAlignment="1">
      <alignment horizontal="center"/>
    </xf>
    <xf numFmtId="0" fontId="39" fillId="35" borderId="20" xfId="0" applyFont="1" applyFill="1" applyBorder="1" applyAlignment="1">
      <alignment horizontal="center"/>
    </xf>
    <xf numFmtId="0" fontId="39" fillId="35" borderId="21" xfId="0" applyFont="1" applyFill="1" applyBorder="1" applyAlignment="1">
      <alignment horizontal="center"/>
    </xf>
    <xf numFmtId="0" fontId="39" fillId="35" borderId="22" xfId="0" applyFont="1" applyFill="1" applyBorder="1" applyAlignment="1">
      <alignment horizontal="center"/>
    </xf>
    <xf numFmtId="0" fontId="29" fillId="0" borderId="42" xfId="0" applyFont="1" applyBorder="1" applyAlignment="1">
      <alignment horizontal="left" wrapText="1"/>
    </xf>
  </cellXfs>
  <cellStyles count="70">
    <cellStyle name="20% - Accent1" xfId="21" builtinId="30" customBuiltin="1"/>
    <cellStyle name="20% - Accent1 2" xfId="56" xr:uid="{00000000-0005-0000-0000-000001000000}"/>
    <cellStyle name="20% - Accent2" xfId="25" builtinId="34" customBuiltin="1"/>
    <cellStyle name="20% - Accent2 2" xfId="58" xr:uid="{00000000-0005-0000-0000-000003000000}"/>
    <cellStyle name="20% - Accent3" xfId="29" builtinId="38" customBuiltin="1"/>
    <cellStyle name="20% - Accent3 2" xfId="60" xr:uid="{00000000-0005-0000-0000-000005000000}"/>
    <cellStyle name="20% - Accent4" xfId="33" builtinId="42" customBuiltin="1"/>
    <cellStyle name="20% - Accent4 2" xfId="62" xr:uid="{00000000-0005-0000-0000-000007000000}"/>
    <cellStyle name="20% - Accent5" xfId="37" builtinId="46" customBuiltin="1"/>
    <cellStyle name="20% - Accent5 2" xfId="64" xr:uid="{00000000-0005-0000-0000-000009000000}"/>
    <cellStyle name="20% - Accent6" xfId="41" builtinId="50" customBuiltin="1"/>
    <cellStyle name="20% - Accent6 2" xfId="66" xr:uid="{00000000-0005-0000-0000-00000B000000}"/>
    <cellStyle name="40% - Accent1" xfId="22" builtinId="31" customBuiltin="1"/>
    <cellStyle name="40% - Accent1 2" xfId="57" xr:uid="{00000000-0005-0000-0000-00000D000000}"/>
    <cellStyle name="40% - Accent2" xfId="26" builtinId="35" customBuiltin="1"/>
    <cellStyle name="40% - Accent2 2" xfId="59" xr:uid="{00000000-0005-0000-0000-00000F000000}"/>
    <cellStyle name="40% - Accent3" xfId="30" builtinId="39" customBuiltin="1"/>
    <cellStyle name="40% - Accent3 2" xfId="61" xr:uid="{00000000-0005-0000-0000-000011000000}"/>
    <cellStyle name="40% - Accent4" xfId="34" builtinId="43" customBuiltin="1"/>
    <cellStyle name="40% - Accent4 2" xfId="63" xr:uid="{00000000-0005-0000-0000-000013000000}"/>
    <cellStyle name="40% - Accent5" xfId="38" builtinId="47" customBuiltin="1"/>
    <cellStyle name="40% - Accent5 2" xfId="65" xr:uid="{00000000-0005-0000-0000-000015000000}"/>
    <cellStyle name="40% - Accent6" xfId="42" builtinId="51" customBuiltin="1"/>
    <cellStyle name="40% - Accent6 2" xfId="67" xr:uid="{00000000-0005-0000-0000-000017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1 2" xfId="55" xr:uid="{00000000-0005-0000-0000-00001F000000}"/>
    <cellStyle name="Accent1 3" xfId="47" xr:uid="{00000000-0005-0000-0000-000020000000}"/>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69" builtinId="3"/>
    <cellStyle name="Comma 2" xfId="48" xr:uid="{00000000-0005-0000-0000-00002A000000}"/>
    <cellStyle name="Comma 3" xfId="52" xr:uid="{00000000-0005-0000-0000-00002B000000}"/>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5" xr:uid="{00000000-0005-0000-0000-000038000000}"/>
    <cellStyle name="Normal 2 2" xfId="49" xr:uid="{00000000-0005-0000-0000-000039000000}"/>
    <cellStyle name="Normal 3" xfId="44" xr:uid="{00000000-0005-0000-0000-00003A000000}"/>
    <cellStyle name="Normal 3 2" xfId="51" xr:uid="{00000000-0005-0000-0000-00003B000000}"/>
    <cellStyle name="Normal 4" xfId="46" xr:uid="{00000000-0005-0000-0000-00003C000000}"/>
    <cellStyle name="Note" xfId="17" builtinId="10" customBuiltin="1"/>
    <cellStyle name="Note 2" xfId="54" xr:uid="{00000000-0005-0000-0000-00003E000000}"/>
    <cellStyle name="Output" xfId="12" builtinId="21" customBuiltin="1"/>
    <cellStyle name="Percent" xfId="68" builtinId="5"/>
    <cellStyle name="Percent 2" xfId="50" xr:uid="{00000000-0005-0000-0000-000041000000}"/>
    <cellStyle name="Percent 3" xfId="53" xr:uid="{00000000-0005-0000-0000-000042000000}"/>
    <cellStyle name="Title" xfId="3" builtinId="15" customBuiltin="1"/>
    <cellStyle name="Total" xfId="19" builtinId="25" customBuiltin="1"/>
    <cellStyle name="Warning Text" xfId="16" builtinId="11" customBuiltin="1"/>
  </cellStyles>
  <dxfs count="0"/>
  <tableStyles count="1" defaultTableStyle="TableStyleMedium2" defaultPivotStyle="PivotStyleLight16">
    <tableStyle name="Invisible" pivot="0" table="0" count="0" xr9:uid="{0C306AA3-FF11-49E9-992F-CD35DF3ABAE9}"/>
  </tableStyles>
  <colors>
    <mruColors>
      <color rgb="FF11366E"/>
      <color rgb="FFB42E34"/>
      <color rgb="FF5333A8"/>
      <color rgb="FFF28E2B"/>
      <color rgb="FF197544"/>
      <color rgb="FF004891"/>
      <color rgb="FF9D9D9D"/>
      <color rgb="FF595959"/>
      <color rgb="FF8A63A1"/>
      <color rgb="FFD99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1F497D"/>
      </a:accent1>
      <a:accent2>
        <a:srgbClr val="0078A3"/>
      </a:accent2>
      <a:accent3>
        <a:srgbClr val="00AAE6"/>
      </a:accent3>
      <a:accent4>
        <a:srgbClr val="A01C3F"/>
      </a:accent4>
      <a:accent5>
        <a:srgbClr val="7DA830"/>
      </a:accent5>
      <a:accent6>
        <a:srgbClr val="E1821B"/>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showGridLines="0" tabSelected="1" zoomScale="80" zoomScaleNormal="80" workbookViewId="0"/>
  </sheetViews>
  <sheetFormatPr defaultColWidth="9.08203125" defaultRowHeight="14" x14ac:dyDescent="0.3"/>
  <cols>
    <col min="1" max="1" width="9.08203125" style="1"/>
    <col min="2" max="2" width="15.6640625" style="1" customWidth="1"/>
    <col min="3" max="16384" width="9.08203125" style="1"/>
  </cols>
  <sheetData>
    <row r="1" spans="1:8" s="40" customFormat="1" ht="20" x14ac:dyDescent="0.4">
      <c r="A1" s="40" t="s">
        <v>0</v>
      </c>
    </row>
    <row r="2" spans="1:8" s="41" customFormat="1" ht="15.5" x14ac:dyDescent="0.3">
      <c r="A2" s="41" t="s">
        <v>1</v>
      </c>
    </row>
    <row r="3" spans="1:8" ht="15.5" x14ac:dyDescent="0.3">
      <c r="A3" s="42" t="s">
        <v>289</v>
      </c>
      <c r="B3"/>
    </row>
    <row r="5" spans="1:8" x14ac:dyDescent="0.3">
      <c r="A5" s="1" t="s">
        <v>2</v>
      </c>
    </row>
    <row r="6" spans="1:8" x14ac:dyDescent="0.3">
      <c r="A6" s="1" t="s">
        <v>3</v>
      </c>
      <c r="B6" s="12"/>
    </row>
    <row r="8" spans="1:8" x14ac:dyDescent="0.3">
      <c r="A8" s="9" t="s">
        <v>4</v>
      </c>
      <c r="B8" s="10"/>
      <c r="C8" s="9" t="s">
        <v>5</v>
      </c>
      <c r="D8" s="10"/>
      <c r="E8" s="10"/>
      <c r="F8" s="10"/>
      <c r="G8" s="10"/>
      <c r="H8" s="10"/>
    </row>
    <row r="9" spans="1:8" x14ac:dyDescent="0.3">
      <c r="A9" s="12" t="s">
        <v>6</v>
      </c>
      <c r="C9" s="1" t="s">
        <v>7</v>
      </c>
    </row>
    <row r="10" spans="1:8" x14ac:dyDescent="0.3">
      <c r="A10" s="12" t="s">
        <v>8</v>
      </c>
      <c r="C10" s="1" t="s">
        <v>9</v>
      </c>
    </row>
    <row r="11" spans="1:8" x14ac:dyDescent="0.3">
      <c r="A11" s="12" t="s">
        <v>10</v>
      </c>
      <c r="C11" s="1" t="s">
        <v>11</v>
      </c>
    </row>
    <row r="12" spans="1:8" x14ac:dyDescent="0.3">
      <c r="A12" s="12" t="s">
        <v>157</v>
      </c>
      <c r="C12" s="1" t="s">
        <v>12</v>
      </c>
    </row>
    <row r="13" spans="1:8" x14ac:dyDescent="0.3">
      <c r="A13" s="12" t="s">
        <v>13</v>
      </c>
      <c r="C13" s="1" t="s">
        <v>223</v>
      </c>
    </row>
    <row r="14" spans="1:8" x14ac:dyDescent="0.3">
      <c r="A14" s="12" t="s">
        <v>14</v>
      </c>
      <c r="C14" s="1" t="s">
        <v>15</v>
      </c>
    </row>
    <row r="16" spans="1:8" x14ac:dyDescent="0.3">
      <c r="A16" s="12" t="s">
        <v>16</v>
      </c>
      <c r="C16" s="11" t="s">
        <v>17</v>
      </c>
    </row>
    <row r="17" spans="1:3" x14ac:dyDescent="0.3">
      <c r="A17" s="12" t="s">
        <v>18</v>
      </c>
      <c r="C17" s="1" t="s">
        <v>19</v>
      </c>
    </row>
    <row r="18" spans="1:3" x14ac:dyDescent="0.3">
      <c r="A18" s="12" t="s">
        <v>20</v>
      </c>
      <c r="C18" s="1" t="s">
        <v>21</v>
      </c>
    </row>
    <row r="20" spans="1:3" x14ac:dyDescent="0.3">
      <c r="A20" s="12" t="s">
        <v>22</v>
      </c>
      <c r="C20" s="11" t="s">
        <v>23</v>
      </c>
    </row>
    <row r="22" spans="1:3" x14ac:dyDescent="0.3">
      <c r="A22" s="12" t="s">
        <v>24</v>
      </c>
      <c r="C22" s="1" t="s">
        <v>177</v>
      </c>
    </row>
  </sheetData>
  <sheetProtection algorithmName="SHA-512" hashValue="xDdTe4+HqPcjEo7oA4LfRUdtivlNtJA1Z/09NdM0RUc/2r2IBoVNpRMKd78Du8XktXw6Ne/cn7YavzPRmAXP/g==" saltValue="khLndCBkB0E+Pw0DmJ7dRw==" spinCount="100000" sheet="1" objects="1" scenarios="1"/>
  <hyperlinks>
    <hyperlink ref="A9" location="THCE_Statewide!A1" display="THCE_Statewide" xr:uid="{E30897EE-FB67-4D54-B20A-17D6405B0BFE}"/>
    <hyperlink ref="A10" location="THCE_Comm!A1" display="THCE_Comm" xr:uid="{965DC65E-F663-4A5D-886D-52C71AF392B7}"/>
    <hyperlink ref="A11" location="THCE_Mcare!A1" display="THCE_Mcare" xr:uid="{58D37226-A188-4879-8767-DE0389B3D53C}"/>
    <hyperlink ref="A12" location="THCE_MCal!A1" display="THCE_Maid" xr:uid="{DFA22CB8-4171-4D2B-B485-6EE32FC7E64E}"/>
    <hyperlink ref="A13" location="THCE_ACP!A1" display="THCE_ACP" xr:uid="{E36BCBED-47FD-4BB2-A673-FF6FEA50B755}"/>
    <hyperlink ref="A14" location="THCE_Other!A1" display="THCE_Other" xr:uid="{557B0584-C940-4EF8-B631-F61EF780153C}"/>
    <hyperlink ref="A16" location="TME_StatewideServCat!A1" display="TME_StatewideServCat" xr:uid="{27BFA1A3-839B-4FF2-837A-0C965D3ADC5F}"/>
    <hyperlink ref="A17" location="TME_Comm_ServCat!A1" display="TME_Comm_ServCat" xr:uid="{6772988F-F2B4-4C02-9906-06A0B9B0800A}"/>
    <hyperlink ref="A18" location="TME_Mcare_ServCat!A1" display="TME_Mcare_ServCat" xr:uid="{0A0C996D-94B3-40F8-A2DB-AC709527E577}"/>
    <hyperlink ref="A20" location="TME_Region!A1" display="TME_Region" xr:uid="{650D4978-C6D9-4653-AF5D-B71E53E5AD5D}"/>
    <hyperlink ref="A22" location="TME_Submitter!A1" display="TME_Submitter" xr:uid="{268B6279-EEF8-4E6F-A206-3BDD5EB17F97}"/>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97544"/>
  </sheetPr>
  <dimension ref="A1:T72"/>
  <sheetViews>
    <sheetView showGridLines="0" zoomScale="80" zoomScaleNormal="80" workbookViewId="0"/>
  </sheetViews>
  <sheetFormatPr defaultColWidth="8.6640625" defaultRowHeight="15.5" x14ac:dyDescent="0.35"/>
  <cols>
    <col min="1" max="1" width="74.08203125" style="15" customWidth="1"/>
    <col min="2" max="2" width="19.83203125" style="48" customWidth="1"/>
    <col min="3" max="3" width="22.6640625" style="48" customWidth="1"/>
    <col min="4" max="4" width="19.4140625" style="15" customWidth="1"/>
    <col min="5" max="5" width="34.9140625" style="15" customWidth="1"/>
    <col min="6" max="6" width="9.08203125" customWidth="1"/>
    <col min="7" max="7" width="36.6640625" customWidth="1"/>
    <col min="8" max="9" width="19.6640625" customWidth="1"/>
    <col min="10" max="10" width="19.6640625" style="15" customWidth="1"/>
    <col min="11" max="12" width="16.4140625" style="15" customWidth="1"/>
    <col min="13" max="13" width="14.6640625" style="15" customWidth="1"/>
    <col min="14" max="14" width="8.6640625" style="15"/>
    <col min="15" max="15" width="36.6640625" style="15" customWidth="1"/>
    <col min="16" max="18" width="19.6640625" style="15" customWidth="1"/>
    <col min="19" max="20" width="16.4140625" style="15" customWidth="1"/>
    <col min="21" max="21" width="14.6640625" style="15" customWidth="1"/>
    <col min="22" max="16384" width="8.6640625" style="15"/>
  </cols>
  <sheetData>
    <row r="1" spans="1:20" s="40" customFormat="1" ht="20" x14ac:dyDescent="0.4">
      <c r="A1" s="40" t="s">
        <v>0</v>
      </c>
      <c r="B1" s="89"/>
      <c r="C1" s="89"/>
      <c r="F1"/>
      <c r="G1"/>
      <c r="H1"/>
      <c r="I1"/>
    </row>
    <row r="2" spans="1:20" s="41" customFormat="1" x14ac:dyDescent="0.3">
      <c r="A2" s="41" t="s">
        <v>221</v>
      </c>
      <c r="B2" s="90"/>
      <c r="C2" s="90"/>
      <c r="F2"/>
      <c r="G2"/>
      <c r="H2"/>
      <c r="I2"/>
    </row>
    <row r="3" spans="1:20" s="40" customFormat="1" ht="15.75" customHeight="1" x14ac:dyDescent="0.4">
      <c r="A3" s="42" t="s">
        <v>69</v>
      </c>
      <c r="B3" s="89"/>
      <c r="C3" s="89"/>
      <c r="F3"/>
      <c r="G3"/>
      <c r="H3"/>
      <c r="I3"/>
    </row>
    <row r="4" spans="1:20" ht="15.75" customHeight="1" x14ac:dyDescent="0.35">
      <c r="A4" s="58"/>
      <c r="B4" s="91"/>
      <c r="C4" s="91"/>
      <c r="D4" s="23"/>
      <c r="L4" s="24"/>
      <c r="O4" s="24"/>
      <c r="T4" s="24"/>
    </row>
    <row r="5" spans="1:20" x14ac:dyDescent="0.35">
      <c r="A5" s="42" t="s">
        <v>31</v>
      </c>
      <c r="B5"/>
      <c r="C5"/>
      <c r="D5"/>
    </row>
    <row r="6" spans="1:20" x14ac:dyDescent="0.35">
      <c r="A6" s="203" t="s">
        <v>71</v>
      </c>
      <c r="B6" s="203" t="s">
        <v>27</v>
      </c>
      <c r="C6" s="203"/>
      <c r="D6" s="73" t="s">
        <v>28</v>
      </c>
      <c r="E6" s="204" t="s">
        <v>29</v>
      </c>
    </row>
    <row r="7" spans="1:20" x14ac:dyDescent="0.35">
      <c r="A7" s="203"/>
      <c r="B7" s="74">
        <v>2022</v>
      </c>
      <c r="C7" s="74">
        <v>2023</v>
      </c>
      <c r="D7" s="74" t="s">
        <v>30</v>
      </c>
      <c r="E7" s="205"/>
    </row>
    <row r="8" spans="1:20" x14ac:dyDescent="0.35">
      <c r="A8" s="16" t="s">
        <v>72</v>
      </c>
      <c r="B8" s="92">
        <v>23721668688</v>
      </c>
      <c r="C8" s="92">
        <v>23946535756</v>
      </c>
      <c r="D8" s="18">
        <f t="shared" ref="D8:D23" si="0">IFERROR((C8-B8)/B8, "")</f>
        <v>9.4793950188568621E-3</v>
      </c>
      <c r="E8" s="16"/>
    </row>
    <row r="9" spans="1:20" x14ac:dyDescent="0.35">
      <c r="A9" s="16" t="s">
        <v>73</v>
      </c>
      <c r="B9" s="92">
        <v>22460229667</v>
      </c>
      <c r="C9" s="92">
        <v>23957250330</v>
      </c>
      <c r="D9" s="18">
        <f t="shared" si="0"/>
        <v>6.66520639011772E-2</v>
      </c>
      <c r="E9" s="16"/>
      <c r="J9" s="29"/>
      <c r="K9" s="29"/>
      <c r="L9" s="29"/>
      <c r="M9" s="29"/>
      <c r="N9" s="29"/>
      <c r="O9" s="29"/>
      <c r="P9" s="29"/>
      <c r="Q9" s="29"/>
      <c r="R9" s="29"/>
    </row>
    <row r="10" spans="1:20" x14ac:dyDescent="0.35">
      <c r="A10" s="16" t="s">
        <v>74</v>
      </c>
      <c r="B10" s="92">
        <v>13049448301</v>
      </c>
      <c r="C10" s="92">
        <v>13832417621</v>
      </c>
      <c r="D10" s="18">
        <f t="shared" si="0"/>
        <v>6.0000185597118297E-2</v>
      </c>
      <c r="E10" s="16"/>
    </row>
    <row r="11" spans="1:20" x14ac:dyDescent="0.35">
      <c r="A11" s="16" t="s">
        <v>268</v>
      </c>
      <c r="B11" s="92">
        <v>1073927289</v>
      </c>
      <c r="C11" s="92">
        <v>1158494157</v>
      </c>
      <c r="D11" s="18">
        <f t="shared" si="0"/>
        <v>7.8745431712369862E-2</v>
      </c>
      <c r="E11" s="16"/>
    </row>
    <row r="12" spans="1:20" x14ac:dyDescent="0.35">
      <c r="A12" s="16" t="s">
        <v>75</v>
      </c>
      <c r="B12" s="92">
        <v>17481380025</v>
      </c>
      <c r="C12" s="92">
        <v>19394595790</v>
      </c>
      <c r="D12" s="18">
        <f t="shared" si="0"/>
        <v>0.10944306240490874</v>
      </c>
      <c r="E12" s="16"/>
    </row>
    <row r="13" spans="1:20" x14ac:dyDescent="0.35">
      <c r="A13" s="16" t="s">
        <v>77</v>
      </c>
      <c r="B13" s="92">
        <v>6591668369</v>
      </c>
      <c r="C13" s="92">
        <v>5656045844</v>
      </c>
      <c r="D13" s="18">
        <f t="shared" si="0"/>
        <v>-0.14194016941145662</v>
      </c>
      <c r="E13" s="16"/>
    </row>
    <row r="14" spans="1:20" x14ac:dyDescent="0.35">
      <c r="A14" s="16" t="s">
        <v>167</v>
      </c>
      <c r="B14" s="92">
        <v>2799184016</v>
      </c>
      <c r="C14" s="92">
        <v>3579683771</v>
      </c>
      <c r="D14" s="18">
        <f t="shared" si="0"/>
        <v>0.27883117027630239</v>
      </c>
      <c r="E14" s="16"/>
    </row>
    <row r="15" spans="1:20" x14ac:dyDescent="0.35">
      <c r="A15" s="16" t="s">
        <v>168</v>
      </c>
      <c r="B15" s="92">
        <v>74892777</v>
      </c>
      <c r="C15" s="92">
        <v>57612416</v>
      </c>
      <c r="D15" s="18">
        <f t="shared" si="0"/>
        <v>-0.23073468086248158</v>
      </c>
      <c r="E15" s="16"/>
    </row>
    <row r="16" spans="1:20" x14ac:dyDescent="0.35">
      <c r="A16" s="16" t="s">
        <v>166</v>
      </c>
      <c r="B16" s="92">
        <v>27854083564</v>
      </c>
      <c r="C16" s="92">
        <v>29250746977</v>
      </c>
      <c r="D16" s="18">
        <f t="shared" si="0"/>
        <v>5.0142141987579769E-2</v>
      </c>
      <c r="E16" s="16"/>
    </row>
    <row r="17" spans="1:5" x14ac:dyDescent="0.35">
      <c r="A17" s="16" t="s">
        <v>78</v>
      </c>
      <c r="B17" s="92">
        <v>38630621</v>
      </c>
      <c r="C17" s="92">
        <v>59675561</v>
      </c>
      <c r="D17" s="18">
        <f t="shared" si="0"/>
        <v>0.54477353599881295</v>
      </c>
      <c r="E17" s="16"/>
    </row>
    <row r="18" spans="1:5" x14ac:dyDescent="0.35">
      <c r="A18" s="16" t="s">
        <v>79</v>
      </c>
      <c r="B18" s="92">
        <v>22926300</v>
      </c>
      <c r="C18" s="92">
        <v>28637876</v>
      </c>
      <c r="D18" s="18">
        <f t="shared" si="0"/>
        <v>0.24912768305395985</v>
      </c>
      <c r="E18" s="16"/>
    </row>
    <row r="19" spans="1:5" x14ac:dyDescent="0.35">
      <c r="A19" s="16" t="s">
        <v>80</v>
      </c>
      <c r="B19" s="92">
        <v>15081988</v>
      </c>
      <c r="C19" s="92">
        <v>16933025</v>
      </c>
      <c r="D19" s="18">
        <f t="shared" si="0"/>
        <v>0.12273163193075078</v>
      </c>
      <c r="E19" s="16"/>
    </row>
    <row r="20" spans="1:5" x14ac:dyDescent="0.35">
      <c r="A20" s="16" t="s">
        <v>255</v>
      </c>
      <c r="B20" s="92">
        <v>458023083</v>
      </c>
      <c r="C20" s="92">
        <v>448831898</v>
      </c>
      <c r="D20" s="18">
        <f t="shared" si="0"/>
        <v>-2.006707814767493E-2</v>
      </c>
      <c r="E20" s="16"/>
    </row>
    <row r="21" spans="1:5" x14ac:dyDescent="0.35">
      <c r="A21" s="54" t="s">
        <v>81</v>
      </c>
      <c r="B21" s="86">
        <f>SUM(B8:B13)</f>
        <v>84378322339</v>
      </c>
      <c r="C21" s="86">
        <f>SUM(C8:C13)</f>
        <v>87945339498</v>
      </c>
      <c r="D21" s="18">
        <f t="shared" si="0"/>
        <v>4.2274094342253953E-2</v>
      </c>
      <c r="E21" s="16"/>
    </row>
    <row r="22" spans="1:5" x14ac:dyDescent="0.35">
      <c r="A22" s="54" t="s">
        <v>82</v>
      </c>
      <c r="B22" s="86">
        <f>SUM(B8:B13)-SUM(B14:B15)</f>
        <v>81504245546</v>
      </c>
      <c r="C22" s="86">
        <f>SUM(C8:C13)-SUM(C14:C15)</f>
        <v>84308043311</v>
      </c>
      <c r="D22" s="18">
        <f t="shared" si="0"/>
        <v>3.4400634546301899E-2</v>
      </c>
      <c r="E22" s="16"/>
    </row>
    <row r="23" spans="1:5" x14ac:dyDescent="0.35">
      <c r="A23" s="54" t="s">
        <v>83</v>
      </c>
      <c r="B23" s="86">
        <f>SUM(B16:B20)</f>
        <v>28388745556</v>
      </c>
      <c r="C23" s="86">
        <f>SUM(C16:C20)</f>
        <v>29804825337</v>
      </c>
      <c r="D23" s="18">
        <f t="shared" si="0"/>
        <v>4.988173141383169E-2</v>
      </c>
      <c r="E23" s="16"/>
    </row>
    <row r="25" spans="1:5" x14ac:dyDescent="0.35">
      <c r="A25" s="14"/>
      <c r="B25" s="93"/>
      <c r="C25" s="93"/>
      <c r="D25" s="25"/>
    </row>
    <row r="26" spans="1:5" x14ac:dyDescent="0.35">
      <c r="A26" s="203" t="s">
        <v>71</v>
      </c>
      <c r="B26" s="203" t="s">
        <v>161</v>
      </c>
      <c r="C26" s="203"/>
      <c r="D26" s="73" t="s">
        <v>28</v>
      </c>
      <c r="E26" s="204" t="s">
        <v>29</v>
      </c>
    </row>
    <row r="27" spans="1:5" x14ac:dyDescent="0.35">
      <c r="A27" s="203"/>
      <c r="B27" s="74">
        <v>2022</v>
      </c>
      <c r="C27" s="74">
        <v>2023</v>
      </c>
      <c r="D27" s="74" t="s">
        <v>30</v>
      </c>
      <c r="E27" s="205"/>
    </row>
    <row r="28" spans="1:5" x14ac:dyDescent="0.35">
      <c r="A28" s="176" t="s">
        <v>72</v>
      </c>
      <c r="B28" s="177">
        <f>B8/THCE_Comm!C$14</f>
        <v>1367.9081051849644</v>
      </c>
      <c r="C28" s="177">
        <f>C8/THCE_Comm!D$14</f>
        <v>1388.7629454524028</v>
      </c>
      <c r="D28" s="178">
        <f t="shared" ref="D28:D43" si="1">IFERROR((C28-B28)/B28, "")</f>
        <v>1.5245790406818701E-2</v>
      </c>
      <c r="E28" s="179"/>
    </row>
    <row r="29" spans="1:5" x14ac:dyDescent="0.35">
      <c r="A29" s="180" t="s">
        <v>73</v>
      </c>
      <c r="B29" s="177">
        <f>B9/THCE_Comm!C$14</f>
        <v>1295.1673261226813</v>
      </c>
      <c r="C29" s="177">
        <f>C9/THCE_Comm!D$14</f>
        <v>1389.3843298354773</v>
      </c>
      <c r="D29" s="181">
        <f t="shared" si="1"/>
        <v>7.2745043680843696E-2</v>
      </c>
      <c r="E29" s="182"/>
    </row>
    <row r="30" spans="1:5" x14ac:dyDescent="0.35">
      <c r="A30" s="180" t="s">
        <v>74</v>
      </c>
      <c r="B30" s="177">
        <f>B10/THCE_Comm!C$14</f>
        <v>752.49538023267337</v>
      </c>
      <c r="C30" s="177">
        <f>C10/THCE_Comm!D$14</f>
        <v>802.20158914862964</v>
      </c>
      <c r="D30" s="181">
        <f t="shared" si="1"/>
        <v>6.605516820659682E-2</v>
      </c>
      <c r="E30" s="182"/>
    </row>
    <row r="31" spans="1:5" x14ac:dyDescent="0.35">
      <c r="A31" s="180" t="s">
        <v>268</v>
      </c>
      <c r="B31" s="177">
        <f>B11/THCE_Comm!C$14</f>
        <v>61.927930211147022</v>
      </c>
      <c r="C31" s="177">
        <f>C11/THCE_Comm!D$14</f>
        <v>67.186075437304211</v>
      </c>
      <c r="D31" s="181">
        <f t="shared" si="1"/>
        <v>8.4907491792947473E-2</v>
      </c>
      <c r="E31" s="182"/>
    </row>
    <row r="32" spans="1:5" x14ac:dyDescent="0.35">
      <c r="A32" s="180" t="s">
        <v>75</v>
      </c>
      <c r="B32" s="177">
        <f>B12/THCE_Comm!C$14</f>
        <v>1008.0623644369833</v>
      </c>
      <c r="C32" s="177">
        <f>C12/THCE_Comm!D$14</f>
        <v>1124.7763037470052</v>
      </c>
      <c r="D32" s="181">
        <f t="shared" si="1"/>
        <v>0.11578047492647756</v>
      </c>
      <c r="E32" s="182"/>
    </row>
    <row r="33" spans="1:5" x14ac:dyDescent="0.35">
      <c r="A33" s="180" t="s">
        <v>77</v>
      </c>
      <c r="B33" s="177">
        <f>B13/THCE_Comm!C$14</f>
        <v>380.10802305858653</v>
      </c>
      <c r="C33" s="177">
        <f>C13/THCE_Comm!D$14</f>
        <v>328.01850614067013</v>
      </c>
      <c r="D33" s="181">
        <f t="shared" si="1"/>
        <v>-0.13703871993748412</v>
      </c>
      <c r="E33" s="182"/>
    </row>
    <row r="34" spans="1:5" x14ac:dyDescent="0.35">
      <c r="A34" s="180" t="s">
        <v>167</v>
      </c>
      <c r="B34" s="177">
        <f>B14/THCE_Comm!C$14</f>
        <v>161.41471975483645</v>
      </c>
      <c r="C34" s="177">
        <f>C14/THCE_Comm!D$14</f>
        <v>207.60130936085471</v>
      </c>
      <c r="D34" s="181">
        <f t="shared" si="1"/>
        <v>0.28613616946563741</v>
      </c>
      <c r="E34" s="182"/>
    </row>
    <row r="35" spans="1:5" x14ac:dyDescent="0.35">
      <c r="A35" s="180" t="s">
        <v>168</v>
      </c>
      <c r="B35" s="177">
        <f>B15/THCE_Comm!C$14</f>
        <v>4.3186859249043597</v>
      </c>
      <c r="C35" s="177">
        <f>C15/THCE_Comm!D$14</f>
        <v>3.3411926198444797</v>
      </c>
      <c r="D35" s="181">
        <f t="shared" si="1"/>
        <v>-0.2263404475474857</v>
      </c>
      <c r="E35" s="182"/>
    </row>
    <row r="36" spans="1:5" x14ac:dyDescent="0.35">
      <c r="A36" s="180" t="s">
        <v>166</v>
      </c>
      <c r="B36" s="177">
        <f>B16/THCE_Comm!C$14</f>
        <v>1606.2034745881658</v>
      </c>
      <c r="C36" s="177">
        <f>C16/THCE_Comm!D$14</f>
        <v>1696.3770435263575</v>
      </c>
      <c r="D36" s="181">
        <f t="shared" si="1"/>
        <v>5.6140813019541248E-2</v>
      </c>
      <c r="E36" s="182"/>
    </row>
    <row r="37" spans="1:5" x14ac:dyDescent="0.35">
      <c r="A37" s="180" t="s">
        <v>78</v>
      </c>
      <c r="B37" s="177">
        <f>B17/THCE_Comm!C$14</f>
        <v>2.2276316337290414</v>
      </c>
      <c r="C37" s="177">
        <f>C17/THCE_Comm!D$14</f>
        <v>3.4608433015251272</v>
      </c>
      <c r="D37" s="181">
        <f t="shared" si="1"/>
        <v>0.55359766360100449</v>
      </c>
      <c r="E37" s="183"/>
    </row>
    <row r="38" spans="1:5" x14ac:dyDescent="0.35">
      <c r="A38" s="180" t="s">
        <v>79</v>
      </c>
      <c r="B38" s="177">
        <f>B18/THCE_Comm!C$14</f>
        <v>1.3220432341577457</v>
      </c>
      <c r="C38" s="177">
        <f>C18/THCE_Comm!D$14</f>
        <v>1.6608340108358126</v>
      </c>
      <c r="D38" s="181">
        <f t="shared" si="1"/>
        <v>0.25626300859510509</v>
      </c>
      <c r="E38" s="182"/>
    </row>
    <row r="39" spans="1:5" x14ac:dyDescent="0.35">
      <c r="A39" s="180" t="s">
        <v>80</v>
      </c>
      <c r="B39" s="177">
        <f>B19/THCE_Comm!C$14</f>
        <v>0.86970161748944708</v>
      </c>
      <c r="C39" s="177">
        <f>C19/THCE_Comm!D$14</f>
        <v>0.98201919116952274</v>
      </c>
      <c r="D39" s="181">
        <f t="shared" si="1"/>
        <v>0.12914495204033413</v>
      </c>
      <c r="E39" s="182"/>
    </row>
    <row r="40" spans="1:5" x14ac:dyDescent="0.35">
      <c r="A40" s="180" t="s">
        <v>255</v>
      </c>
      <c r="B40" s="177">
        <f>B20/THCE_Comm!C$14</f>
        <v>26.411864015049161</v>
      </c>
      <c r="C40" s="177">
        <f>C20/THCE_Comm!D$14</f>
        <v>26.029698618235177</v>
      </c>
      <c r="D40" s="181">
        <f t="shared" si="1"/>
        <v>-1.4469459504873706E-2</v>
      </c>
      <c r="E40" s="182"/>
    </row>
    <row r="41" spans="1:5" x14ac:dyDescent="0.35">
      <c r="A41" s="184" t="s">
        <v>81</v>
      </c>
      <c r="B41" s="177">
        <f>B21/THCE_Comm!C$14</f>
        <v>4865.6691292470359</v>
      </c>
      <c r="C41" s="177">
        <f>C21/THCE_Comm!D$14</f>
        <v>5100.3297497614894</v>
      </c>
      <c r="D41" s="181">
        <f t="shared" si="1"/>
        <v>4.822782114466697E-2</v>
      </c>
      <c r="E41" s="182"/>
    </row>
    <row r="42" spans="1:5" x14ac:dyDescent="0.35">
      <c r="A42" s="184" t="s">
        <v>82</v>
      </c>
      <c r="B42" s="177">
        <f>B22/THCE_Comm!C$14</f>
        <v>4699.9357235672951</v>
      </c>
      <c r="C42" s="177">
        <f>C22/THCE_Comm!D$14</f>
        <v>4889.3872477807899</v>
      </c>
      <c r="D42" s="181">
        <f t="shared" si="1"/>
        <v>4.03093862036265E-2</v>
      </c>
      <c r="E42" s="182"/>
    </row>
    <row r="43" spans="1:5" x14ac:dyDescent="0.35">
      <c r="A43" s="185" t="s">
        <v>83</v>
      </c>
      <c r="B43" s="177">
        <f>B23/THCE_Comm!C$14</f>
        <v>1637.0347150885912</v>
      </c>
      <c r="C43" s="177">
        <f>C23/THCE_Comm!D$14</f>
        <v>1728.5104386481232</v>
      </c>
      <c r="D43" s="186">
        <f t="shared" si="1"/>
        <v>5.5878914916341095E-2</v>
      </c>
      <c r="E43" s="187"/>
    </row>
    <row r="45" spans="1:5" customFormat="1" ht="14" x14ac:dyDescent="0.3"/>
    <row r="46" spans="1:5" customFormat="1" ht="14" x14ac:dyDescent="0.3">
      <c r="C46" s="193"/>
    </row>
    <row r="47" spans="1:5" customFormat="1" ht="14" x14ac:dyDescent="0.3"/>
    <row r="48" spans="1:5" customFormat="1" ht="14" x14ac:dyDescent="0.3"/>
    <row r="49" customFormat="1" ht="14" x14ac:dyDescent="0.3"/>
    <row r="50" customFormat="1" ht="14" x14ac:dyDescent="0.3"/>
    <row r="51" customFormat="1" ht="14" x14ac:dyDescent="0.3"/>
    <row r="52" customFormat="1" ht="14" x14ac:dyDescent="0.3"/>
    <row r="53" customFormat="1" ht="14" x14ac:dyDescent="0.3"/>
    <row r="54" customFormat="1" ht="14" x14ac:dyDescent="0.3"/>
    <row r="55" customFormat="1" ht="14" x14ac:dyDescent="0.3"/>
    <row r="56" customFormat="1" ht="14" x14ac:dyDescent="0.3"/>
    <row r="57" customFormat="1" ht="14" x14ac:dyDescent="0.3"/>
    <row r="58" customFormat="1" ht="14" x14ac:dyDescent="0.3"/>
    <row r="59" customFormat="1" ht="14" x14ac:dyDescent="0.3"/>
    <row r="60" customFormat="1" ht="14" x14ac:dyDescent="0.3"/>
    <row r="61" customFormat="1" ht="14" x14ac:dyDescent="0.3"/>
    <row r="62" customFormat="1" ht="14" x14ac:dyDescent="0.3"/>
    <row r="63" customFormat="1" ht="14" x14ac:dyDescent="0.3"/>
    <row r="64" customFormat="1" ht="14" x14ac:dyDescent="0.3"/>
    <row r="65" customFormat="1" ht="14" x14ac:dyDescent="0.3"/>
    <row r="66" customFormat="1" ht="14" x14ac:dyDescent="0.3"/>
    <row r="67" customFormat="1" ht="14" x14ac:dyDescent="0.3"/>
    <row r="68" customFormat="1" ht="14" x14ac:dyDescent="0.3"/>
    <row r="69" customFormat="1" ht="14" x14ac:dyDescent="0.3"/>
    <row r="70" customFormat="1" ht="14" x14ac:dyDescent="0.3"/>
    <row r="71" customFormat="1" ht="14" x14ac:dyDescent="0.3"/>
    <row r="72" customFormat="1" ht="14" x14ac:dyDescent="0.3"/>
  </sheetData>
  <sheetProtection algorithmName="SHA-512" hashValue="Q4dlwmV7/fk+VGd2x5u4T3HX3UvIm/rfcbHjgoKKBrztD1NAdvmOeiMtCUg4etE8+VV/puQ0RuKmkPX2H0zVsQ==" saltValue="2QmGoO3Qxf34B6gLX9Bh+Q==" spinCount="100000" sheet="1" objects="1" scenarios="1"/>
  <mergeCells count="6">
    <mergeCell ref="A6:A7"/>
    <mergeCell ref="B6:C6"/>
    <mergeCell ref="E6:E7"/>
    <mergeCell ref="A26:A27"/>
    <mergeCell ref="B26:C26"/>
    <mergeCell ref="E26:E27"/>
  </mergeCells>
  <pageMargins left="0.7" right="0.7" top="0.75" bottom="0.75" header="0.3" footer="0.3"/>
  <pageSetup orientation="portrait" r:id="rId1"/>
  <ignoredErrors>
    <ignoredError sqref="B21:C21 B23:C2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1203-8EE3-4577-9432-09A7BB4E6642}">
  <sheetPr>
    <tabColor rgb="FF5333A8"/>
  </sheetPr>
  <dimension ref="A1:AF56"/>
  <sheetViews>
    <sheetView showGridLines="0" zoomScale="80" zoomScaleNormal="80" workbookViewId="0"/>
  </sheetViews>
  <sheetFormatPr defaultColWidth="8.6640625" defaultRowHeight="15.5" x14ac:dyDescent="0.35"/>
  <cols>
    <col min="1" max="1" width="70.9140625" style="15" customWidth="1"/>
    <col min="2" max="2" width="19.6640625" style="15" customWidth="1"/>
    <col min="3" max="4" width="19.9140625" style="15" customWidth="1"/>
    <col min="5" max="5" width="30.83203125" style="15" customWidth="1"/>
    <col min="6" max="6" width="2.83203125" customWidth="1"/>
    <col min="7" max="7" width="65.5" style="15" customWidth="1"/>
    <col min="8" max="9" width="16" style="15" customWidth="1"/>
    <col min="10" max="10" width="17.5" style="15" bestFit="1" customWidth="1"/>
    <col min="11" max="11" width="24.9140625" style="15" customWidth="1"/>
    <col min="12" max="12" width="6.33203125" customWidth="1"/>
    <col min="13" max="13" width="62.9140625" style="15" customWidth="1"/>
    <col min="14" max="14" width="19.6640625" style="15" customWidth="1"/>
    <col min="15" max="15" width="20.9140625" style="15" customWidth="1"/>
    <col min="16" max="16" width="19.4140625" style="15" customWidth="1"/>
    <col min="17" max="17" width="128.4140625" style="15" customWidth="1"/>
    <col min="18" max="18" width="11.9140625" bestFit="1" customWidth="1"/>
    <col min="19" max="19" width="37.6640625" style="15" customWidth="1"/>
    <col min="20" max="20" width="19.6640625" style="15" customWidth="1"/>
    <col min="21" max="22" width="19.9140625" style="15" customWidth="1"/>
    <col min="23" max="24" width="16.4140625" style="15" customWidth="1"/>
    <col min="25" max="25" width="17.6640625" style="15" customWidth="1"/>
    <col min="26" max="26" width="8.6640625" style="15"/>
    <col min="27" max="27" width="37.6640625" style="15" customWidth="1"/>
    <col min="28" max="28" width="19.6640625" style="15" customWidth="1"/>
    <col min="29" max="30" width="19.9140625" style="15" customWidth="1"/>
    <col min="31" max="32" width="16.4140625" style="15" customWidth="1"/>
    <col min="33" max="33" width="17.6640625" style="15" customWidth="1"/>
    <col min="34" max="16384" width="8.6640625" style="15"/>
  </cols>
  <sheetData>
    <row r="1" spans="1:32" s="40" customFormat="1" ht="20" x14ac:dyDescent="0.4">
      <c r="A1" s="40" t="s">
        <v>0</v>
      </c>
      <c r="F1"/>
      <c r="L1"/>
      <c r="R1"/>
    </row>
    <row r="2" spans="1:32" s="41" customFormat="1" x14ac:dyDescent="0.3">
      <c r="A2" s="41" t="s">
        <v>220</v>
      </c>
      <c r="F2"/>
      <c r="L2"/>
      <c r="M2" s="42" t="s">
        <v>84</v>
      </c>
      <c r="R2"/>
    </row>
    <row r="3" spans="1:32" s="40" customFormat="1" ht="20" x14ac:dyDescent="0.4">
      <c r="A3" s="42" t="s">
        <v>69</v>
      </c>
      <c r="F3"/>
      <c r="L3"/>
      <c r="M3" s="42" t="s">
        <v>85</v>
      </c>
      <c r="R3"/>
    </row>
    <row r="4" spans="1:32" x14ac:dyDescent="0.35">
      <c r="A4" s="58"/>
      <c r="B4" s="22"/>
      <c r="C4" s="23"/>
      <c r="D4" s="23"/>
      <c r="M4" s="22"/>
      <c r="N4" s="23"/>
      <c r="O4" s="23"/>
      <c r="P4" s="23"/>
      <c r="S4" s="22"/>
      <c r="T4" s="23"/>
      <c r="U4" s="23"/>
      <c r="V4" s="23"/>
      <c r="W4" s="23"/>
      <c r="X4" s="23"/>
      <c r="AA4" s="22"/>
      <c r="AB4" s="23"/>
      <c r="AC4" s="23"/>
      <c r="AD4" s="23"/>
      <c r="AE4" s="23"/>
      <c r="AF4" s="23"/>
    </row>
    <row r="5" spans="1:32" x14ac:dyDescent="0.35">
      <c r="A5" s="42" t="s">
        <v>170</v>
      </c>
      <c r="G5" s="42" t="s">
        <v>285</v>
      </c>
      <c r="M5" s="42" t="s">
        <v>32</v>
      </c>
    </row>
    <row r="6" spans="1:32" x14ac:dyDescent="0.35">
      <c r="A6" s="215" t="s">
        <v>71</v>
      </c>
      <c r="B6" s="215" t="s">
        <v>27</v>
      </c>
      <c r="C6" s="215"/>
      <c r="D6" s="77" t="s">
        <v>28</v>
      </c>
      <c r="E6" s="222" t="s">
        <v>29</v>
      </c>
      <c r="G6" s="215" t="s">
        <v>71</v>
      </c>
      <c r="H6" s="215" t="s">
        <v>27</v>
      </c>
      <c r="I6" s="215"/>
      <c r="J6" s="77" t="s">
        <v>28</v>
      </c>
      <c r="K6" s="222" t="s">
        <v>29</v>
      </c>
      <c r="M6" s="239" t="s">
        <v>71</v>
      </c>
      <c r="N6" s="241" t="s">
        <v>27</v>
      </c>
      <c r="O6" s="242"/>
      <c r="P6" s="60" t="s">
        <v>28</v>
      </c>
      <c r="Q6" s="239" t="s">
        <v>29</v>
      </c>
    </row>
    <row r="7" spans="1:32" x14ac:dyDescent="0.35">
      <c r="A7" s="215"/>
      <c r="B7" s="78">
        <v>2022</v>
      </c>
      <c r="C7" s="78">
        <v>2023</v>
      </c>
      <c r="D7" s="78" t="s">
        <v>30</v>
      </c>
      <c r="E7" s="223"/>
      <c r="G7" s="215"/>
      <c r="H7" s="78">
        <v>2022</v>
      </c>
      <c r="I7" s="78">
        <v>2023</v>
      </c>
      <c r="J7" s="78" t="s">
        <v>30</v>
      </c>
      <c r="K7" s="223"/>
      <c r="M7" s="240"/>
      <c r="N7" s="59">
        <v>2022</v>
      </c>
      <c r="O7" s="59">
        <v>2023</v>
      </c>
      <c r="P7" s="59" t="s">
        <v>30</v>
      </c>
      <c r="Q7" s="240"/>
    </row>
    <row r="8" spans="1:32" x14ac:dyDescent="0.35">
      <c r="A8" s="16" t="s">
        <v>72</v>
      </c>
      <c r="B8" s="19">
        <v>5966218154</v>
      </c>
      <c r="C8" s="19">
        <v>6258139542</v>
      </c>
      <c r="D8" s="18">
        <f>C8/B8-1</f>
        <v>4.8929050273544439E-2</v>
      </c>
      <c r="E8" s="16"/>
      <c r="G8" s="16" t="s">
        <v>72</v>
      </c>
      <c r="H8" s="19">
        <v>981918812</v>
      </c>
      <c r="I8" s="19">
        <v>1131421813</v>
      </c>
      <c r="J8" s="18">
        <f>I8/H8-1</f>
        <v>0.15225596981433531</v>
      </c>
      <c r="K8" s="16"/>
      <c r="M8" s="16" t="s">
        <v>72</v>
      </c>
      <c r="N8" s="62">
        <v>15255427291</v>
      </c>
      <c r="O8" s="62">
        <v>15695005177</v>
      </c>
      <c r="P8" s="18">
        <f>O8/N8-1</f>
        <v>2.881452466817036E-2</v>
      </c>
      <c r="Q8" s="20"/>
    </row>
    <row r="9" spans="1:32" x14ac:dyDescent="0.35">
      <c r="A9" s="16" t="s">
        <v>73</v>
      </c>
      <c r="B9" s="19">
        <v>3204768894</v>
      </c>
      <c r="C9" s="19">
        <v>3531374814</v>
      </c>
      <c r="D9" s="18">
        <f t="shared" ref="D9:D23" si="0">C9/B9-1</f>
        <v>0.10191247194500508</v>
      </c>
      <c r="E9" s="16"/>
      <c r="G9" s="16" t="s">
        <v>73</v>
      </c>
      <c r="H9" s="19">
        <v>358404470</v>
      </c>
      <c r="I9" s="19">
        <v>452221782</v>
      </c>
      <c r="J9" s="18">
        <f t="shared" ref="J9:J23" si="1">I9/H9-1</f>
        <v>0.26176378882774531</v>
      </c>
      <c r="K9" s="16"/>
      <c r="M9" s="16" t="s">
        <v>73</v>
      </c>
      <c r="N9" s="62">
        <v>8452021487</v>
      </c>
      <c r="O9" s="62">
        <v>8818137094</v>
      </c>
      <c r="P9" s="18">
        <f t="shared" ref="P9:P14" si="2">O9/N9-1</f>
        <v>4.3316928093843687E-2</v>
      </c>
      <c r="Q9" s="20" t="s">
        <v>158</v>
      </c>
    </row>
    <row r="10" spans="1:32" x14ac:dyDescent="0.35">
      <c r="A10" s="16" t="s">
        <v>74</v>
      </c>
      <c r="B10" s="19">
        <v>1876721382</v>
      </c>
      <c r="C10" s="19">
        <v>1995591274</v>
      </c>
      <c r="D10" s="18">
        <f t="shared" si="0"/>
        <v>6.3339125956630715E-2</v>
      </c>
      <c r="E10" s="16"/>
      <c r="G10" s="16" t="s">
        <v>74</v>
      </c>
      <c r="H10" s="19">
        <v>199903566</v>
      </c>
      <c r="I10" s="19">
        <v>256422107</v>
      </c>
      <c r="J10" s="18">
        <f t="shared" si="1"/>
        <v>0.28272902845565051</v>
      </c>
      <c r="K10" s="16"/>
      <c r="M10" s="16" t="s">
        <v>74</v>
      </c>
      <c r="N10" s="19">
        <v>12983809521</v>
      </c>
      <c r="O10" s="19">
        <v>14214411357</v>
      </c>
      <c r="P10" s="18">
        <f t="shared" si="2"/>
        <v>9.4779720390200328E-2</v>
      </c>
      <c r="Q10" s="20" t="s">
        <v>159</v>
      </c>
    </row>
    <row r="11" spans="1:32" x14ac:dyDescent="0.35">
      <c r="A11" s="16" t="s">
        <v>268</v>
      </c>
      <c r="B11" s="19">
        <v>1037732936</v>
      </c>
      <c r="C11" s="19">
        <v>1211138032</v>
      </c>
      <c r="D11" s="18">
        <f t="shared" si="0"/>
        <v>0.16709992521621198</v>
      </c>
      <c r="E11" s="16"/>
      <c r="G11" s="16" t="s">
        <v>284</v>
      </c>
      <c r="H11" s="19">
        <v>198728353</v>
      </c>
      <c r="I11" s="19">
        <v>212195210</v>
      </c>
      <c r="J11" s="18">
        <f t="shared" si="1"/>
        <v>6.7765151759698883E-2</v>
      </c>
      <c r="K11" s="16"/>
      <c r="M11" s="16" t="s">
        <v>268</v>
      </c>
      <c r="N11" s="19">
        <v>7705084192</v>
      </c>
      <c r="O11" s="19">
        <v>7871369922</v>
      </c>
      <c r="P11" s="18">
        <f t="shared" si="2"/>
        <v>2.158129954928345E-2</v>
      </c>
      <c r="Q11" s="20"/>
    </row>
    <row r="12" spans="1:32" x14ac:dyDescent="0.35">
      <c r="A12" s="16" t="s">
        <v>75</v>
      </c>
      <c r="B12" s="19">
        <v>6367807562</v>
      </c>
      <c r="C12" s="19">
        <v>7136773714</v>
      </c>
      <c r="D12" s="18">
        <f t="shared" si="0"/>
        <v>0.1207583841868618</v>
      </c>
      <c r="E12" s="16"/>
      <c r="G12" s="16" t="s">
        <v>75</v>
      </c>
      <c r="H12" s="19">
        <v>1400346358</v>
      </c>
      <c r="I12" s="19">
        <v>2007689258</v>
      </c>
      <c r="J12" s="18">
        <f t="shared" si="1"/>
        <v>0.43370905814145733</v>
      </c>
      <c r="K12" s="16"/>
      <c r="M12" s="16" t="s">
        <v>75</v>
      </c>
      <c r="N12" s="19">
        <v>12831688838</v>
      </c>
      <c r="O12" s="19">
        <v>14166451031</v>
      </c>
      <c r="P12" s="18">
        <f t="shared" si="2"/>
        <v>0.10402077309163005</v>
      </c>
      <c r="Q12" s="20"/>
    </row>
    <row r="13" spans="1:32" x14ac:dyDescent="0.35">
      <c r="A13" s="16" t="s">
        <v>77</v>
      </c>
      <c r="B13" s="19">
        <v>1427032960</v>
      </c>
      <c r="C13" s="19">
        <v>1510633696</v>
      </c>
      <c r="D13" s="18">
        <f>C13/B13-1</f>
        <v>5.8583605525130977E-2</v>
      </c>
      <c r="E13" s="16"/>
      <c r="G13" s="16" t="s">
        <v>77</v>
      </c>
      <c r="H13" s="19">
        <v>281047862</v>
      </c>
      <c r="I13" s="19">
        <v>350155404</v>
      </c>
      <c r="J13" s="18">
        <f t="shared" si="1"/>
        <v>0.24589243094829172</v>
      </c>
      <c r="K13" s="16"/>
      <c r="M13" s="16" t="s">
        <v>77</v>
      </c>
      <c r="N13" s="19">
        <v>7427498524</v>
      </c>
      <c r="O13" s="19">
        <v>8279892932</v>
      </c>
      <c r="P13" s="18">
        <f t="shared" si="2"/>
        <v>0.11476197608733441</v>
      </c>
      <c r="Q13" s="20"/>
    </row>
    <row r="14" spans="1:32" x14ac:dyDescent="0.35">
      <c r="A14" s="16" t="s">
        <v>167</v>
      </c>
      <c r="B14" s="19">
        <v>1071817601</v>
      </c>
      <c r="C14" s="19">
        <v>1399209542</v>
      </c>
      <c r="D14" s="18">
        <f t="shared" ref="D14:D16" si="3">C14/B14-1</f>
        <v>0.30545490267611308</v>
      </c>
      <c r="E14" s="16"/>
      <c r="G14" s="16" t="s">
        <v>167</v>
      </c>
      <c r="H14" s="19">
        <v>301141201</v>
      </c>
      <c r="I14" s="19">
        <v>425867497</v>
      </c>
      <c r="J14" s="18">
        <f t="shared" si="1"/>
        <v>0.41417878253065754</v>
      </c>
      <c r="K14" s="16"/>
      <c r="M14" s="54" t="s">
        <v>86</v>
      </c>
      <c r="N14" s="46">
        <f>SUM(N8:N13)</f>
        <v>64655529853</v>
      </c>
      <c r="O14" s="46">
        <f>SUM(O8:O13)</f>
        <v>69045267513</v>
      </c>
      <c r="P14" s="47">
        <f t="shared" si="2"/>
        <v>6.789423379532189E-2</v>
      </c>
      <c r="Q14" s="54"/>
    </row>
    <row r="15" spans="1:32" x14ac:dyDescent="0.35">
      <c r="A15" s="16" t="s">
        <v>168</v>
      </c>
      <c r="B15" s="19">
        <v>17637425</v>
      </c>
      <c r="C15" s="19">
        <v>21404163</v>
      </c>
      <c r="D15" s="18">
        <f t="shared" si="3"/>
        <v>0.21356507540074587</v>
      </c>
      <c r="E15" s="16"/>
      <c r="G15" s="16" t="s">
        <v>168</v>
      </c>
      <c r="H15" s="19">
        <v>2065625</v>
      </c>
      <c r="I15" s="19">
        <v>3610466</v>
      </c>
      <c r="J15" s="18">
        <f t="shared" si="1"/>
        <v>0.74788066565809386</v>
      </c>
      <c r="K15" s="16"/>
      <c r="M15" s="14"/>
      <c r="N15" s="70"/>
      <c r="O15" s="70"/>
      <c r="P15" s="36"/>
      <c r="Q15" s="14"/>
    </row>
    <row r="16" spans="1:32" ht="17" customHeight="1" x14ac:dyDescent="0.35">
      <c r="A16" s="16" t="s">
        <v>166</v>
      </c>
      <c r="B16" s="19">
        <v>17299740485</v>
      </c>
      <c r="C16" s="19">
        <v>18316362704</v>
      </c>
      <c r="D16" s="18">
        <f t="shared" si="3"/>
        <v>5.8765171644133973E-2</v>
      </c>
      <c r="E16" s="16"/>
      <c r="G16" s="16" t="s">
        <v>166</v>
      </c>
      <c r="H16" s="19">
        <v>2987922584</v>
      </c>
      <c r="I16" s="19">
        <v>4011752191</v>
      </c>
      <c r="J16" s="18">
        <f t="shared" si="1"/>
        <v>0.34265600202712609</v>
      </c>
      <c r="K16" s="16"/>
      <c r="M16" s="14"/>
      <c r="N16" s="70"/>
      <c r="O16" s="70"/>
      <c r="P16" s="36"/>
      <c r="Q16" s="14"/>
    </row>
    <row r="17" spans="1:17" x14ac:dyDescent="0.35">
      <c r="A17" s="16" t="s">
        <v>78</v>
      </c>
      <c r="B17" s="19">
        <v>49080305</v>
      </c>
      <c r="C17" s="19">
        <v>15392453</v>
      </c>
      <c r="D17" s="18">
        <f t="shared" ref="D17" si="4">C17/B17-1</f>
        <v>-0.68638228715163851</v>
      </c>
      <c r="E17" s="16"/>
      <c r="G17" s="16" t="s">
        <v>78</v>
      </c>
      <c r="H17" s="19">
        <v>3443340</v>
      </c>
      <c r="I17" s="19">
        <v>1961142</v>
      </c>
      <c r="J17" s="18">
        <f t="shared" si="1"/>
        <v>-0.43045357124187567</v>
      </c>
      <c r="K17" s="16"/>
      <c r="M17" s="14"/>
      <c r="N17" s="70"/>
      <c r="O17" s="70"/>
      <c r="P17" s="36"/>
      <c r="Q17" s="14"/>
    </row>
    <row r="18" spans="1:17" x14ac:dyDescent="0.35">
      <c r="A18" s="16" t="s">
        <v>79</v>
      </c>
      <c r="B18" s="19">
        <v>3124970</v>
      </c>
      <c r="C18" s="19">
        <v>2356112</v>
      </c>
      <c r="D18" s="18">
        <f t="shared" si="0"/>
        <v>-0.24603692195445082</v>
      </c>
      <c r="E18" s="16"/>
      <c r="G18" s="16" t="s">
        <v>79</v>
      </c>
      <c r="H18" s="19">
        <v>131849</v>
      </c>
      <c r="I18" s="19">
        <v>113670</v>
      </c>
      <c r="J18" s="18">
        <f t="shared" si="1"/>
        <v>-0.13787742038240713</v>
      </c>
      <c r="K18" s="16"/>
      <c r="M18"/>
      <c r="N18"/>
      <c r="O18"/>
      <c r="P18"/>
      <c r="Q18"/>
    </row>
    <row r="19" spans="1:17" x14ac:dyDescent="0.35">
      <c r="A19" s="16" t="s">
        <v>80</v>
      </c>
      <c r="B19" s="19">
        <v>47202332</v>
      </c>
      <c r="C19" s="19">
        <v>45758781</v>
      </c>
      <c r="D19" s="18">
        <f t="shared" si="0"/>
        <v>-3.0582196659266758E-2</v>
      </c>
      <c r="E19" s="16"/>
      <c r="G19" s="16" t="s">
        <v>80</v>
      </c>
      <c r="H19" s="19">
        <v>7309117</v>
      </c>
      <c r="I19" s="19">
        <v>15616014</v>
      </c>
      <c r="J19" s="18">
        <f t="shared" si="1"/>
        <v>1.1365117017554924</v>
      </c>
      <c r="K19" s="16"/>
    </row>
    <row r="20" spans="1:17" x14ac:dyDescent="0.35">
      <c r="A20" s="16" t="s">
        <v>255</v>
      </c>
      <c r="B20" s="19">
        <v>1555877913</v>
      </c>
      <c r="C20" s="19">
        <v>1322285828</v>
      </c>
      <c r="D20" s="18">
        <f t="shared" si="0"/>
        <v>-0.15013522786604405</v>
      </c>
      <c r="E20" s="16"/>
      <c r="G20" s="16" t="s">
        <v>255</v>
      </c>
      <c r="H20" s="19">
        <v>76998505</v>
      </c>
      <c r="I20" s="19">
        <v>344158842</v>
      </c>
      <c r="J20" s="18">
        <f t="shared" si="1"/>
        <v>3.4696821321400977</v>
      </c>
      <c r="K20" s="16"/>
    </row>
    <row r="21" spans="1:17" x14ac:dyDescent="0.35">
      <c r="A21" s="54" t="s">
        <v>81</v>
      </c>
      <c r="B21" s="46">
        <f>SUM(B8:B13)</f>
        <v>19880281888</v>
      </c>
      <c r="C21" s="46">
        <f>SUM(C8:C13)</f>
        <v>21643651072</v>
      </c>
      <c r="D21" s="47">
        <f t="shared" si="0"/>
        <v>8.8699405467907111E-2</v>
      </c>
      <c r="E21" s="54"/>
      <c r="G21" s="54" t="s">
        <v>81</v>
      </c>
      <c r="H21" s="46">
        <f>SUM(H8:H13)</f>
        <v>3420349421</v>
      </c>
      <c r="I21" s="46">
        <f>SUM(I8:I13)</f>
        <v>4410105574</v>
      </c>
      <c r="J21" s="47">
        <f t="shared" si="1"/>
        <v>0.28937281873108378</v>
      </c>
      <c r="K21" s="54"/>
    </row>
    <row r="22" spans="1:17" x14ac:dyDescent="0.35">
      <c r="A22" s="54" t="s">
        <v>82</v>
      </c>
      <c r="B22" s="46">
        <f>SUM(B8:B13)-SUM(B14:B15)</f>
        <v>18790826862</v>
      </c>
      <c r="C22" s="46">
        <f>SUM(C8:C13)-SUM(C14:C15)</f>
        <v>20223037367</v>
      </c>
      <c r="D22" s="47">
        <f t="shared" si="0"/>
        <v>7.6218599400556863E-2</v>
      </c>
      <c r="E22" s="54"/>
      <c r="G22" s="54" t="s">
        <v>82</v>
      </c>
      <c r="H22" s="46">
        <f>SUM(H8:H13)-SUM(H14:H15)</f>
        <v>3117142595</v>
      </c>
      <c r="I22" s="46">
        <f>SUM(I8:I13)-SUM(I14:I15)</f>
        <v>3980627611</v>
      </c>
      <c r="J22" s="47">
        <f t="shared" si="1"/>
        <v>0.27701171495492649</v>
      </c>
      <c r="K22" s="54"/>
    </row>
    <row r="23" spans="1:17" x14ac:dyDescent="0.35">
      <c r="A23" s="54" t="s">
        <v>83</v>
      </c>
      <c r="B23" s="46">
        <f>SUM(B16:B20)</f>
        <v>18955026005</v>
      </c>
      <c r="C23" s="46">
        <f>SUM(C16:C20)</f>
        <v>19702155878</v>
      </c>
      <c r="D23" s="47">
        <f t="shared" si="0"/>
        <v>3.9415924452064655E-2</v>
      </c>
      <c r="E23" s="54"/>
      <c r="G23" s="54" t="s">
        <v>83</v>
      </c>
      <c r="H23" s="46">
        <f>SUM(H16:H20)</f>
        <v>3075805395</v>
      </c>
      <c r="I23" s="46">
        <f>SUM(I16:I20)</f>
        <v>4373601859</v>
      </c>
      <c r="J23" s="47">
        <f t="shared" si="1"/>
        <v>0.42193711803408807</v>
      </c>
      <c r="K23" s="54"/>
    </row>
    <row r="24" spans="1:17" x14ac:dyDescent="0.35">
      <c r="B24" s="110"/>
      <c r="C24" s="110"/>
      <c r="D24" s="27"/>
      <c r="E24" s="29"/>
      <c r="H24" s="27"/>
    </row>
    <row r="26" spans="1:17" x14ac:dyDescent="0.35">
      <c r="A26" s="215" t="s">
        <v>71</v>
      </c>
      <c r="B26" s="215" t="s">
        <v>161</v>
      </c>
      <c r="C26" s="215"/>
      <c r="D26" s="77" t="s">
        <v>28</v>
      </c>
      <c r="E26" s="222" t="s">
        <v>29</v>
      </c>
      <c r="G26" s="215" t="s">
        <v>71</v>
      </c>
      <c r="H26" s="215" t="s">
        <v>161</v>
      </c>
      <c r="I26" s="215"/>
      <c r="J26" s="77" t="s">
        <v>28</v>
      </c>
      <c r="K26" s="222" t="s">
        <v>29</v>
      </c>
    </row>
    <row r="27" spans="1:17" x14ac:dyDescent="0.35">
      <c r="A27" s="215"/>
      <c r="B27" s="78">
        <v>2022</v>
      </c>
      <c r="C27" s="78">
        <v>2023</v>
      </c>
      <c r="D27" s="78" t="s">
        <v>30</v>
      </c>
      <c r="E27" s="223"/>
      <c r="G27" s="215"/>
      <c r="H27" s="78">
        <v>2022</v>
      </c>
      <c r="I27" s="78">
        <v>2023</v>
      </c>
      <c r="J27" s="78" t="s">
        <v>30</v>
      </c>
      <c r="K27" s="223"/>
      <c r="M27" s="239" t="s">
        <v>71</v>
      </c>
      <c r="N27" s="243" t="s">
        <v>161</v>
      </c>
      <c r="O27" s="243"/>
      <c r="P27" s="60" t="s">
        <v>28</v>
      </c>
      <c r="Q27" s="239" t="s">
        <v>29</v>
      </c>
    </row>
    <row r="28" spans="1:17" x14ac:dyDescent="0.35">
      <c r="A28" s="16" t="s">
        <v>72</v>
      </c>
      <c r="B28" s="19">
        <f>B8/THCE_Mcare!$C$17</f>
        <v>2325.8369540446665</v>
      </c>
      <c r="C28" s="19">
        <f>C8/THCE_Mcare!$D$17</f>
        <v>2373.2411243405754</v>
      </c>
      <c r="D28" s="18">
        <f>C28/B28-1</f>
        <v>2.0381553493451943E-2</v>
      </c>
      <c r="E28" s="16"/>
      <c r="G28" s="16" t="s">
        <v>72</v>
      </c>
      <c r="H28" s="19">
        <f>H8/THCE_Mcare!$C$18</f>
        <v>3013.1485157021953</v>
      </c>
      <c r="I28" s="19">
        <f>I8/THCE_Mcare!$D$18</f>
        <v>2803.4276441445036</v>
      </c>
      <c r="J28" s="18">
        <f>I28/H28-1</f>
        <v>-6.9601903279838062E-2</v>
      </c>
      <c r="K28" s="16"/>
      <c r="M28" s="240"/>
      <c r="N28" s="59">
        <v>2022</v>
      </c>
      <c r="O28" s="59">
        <v>2023</v>
      </c>
      <c r="P28" s="59" t="s">
        <v>30</v>
      </c>
      <c r="Q28" s="240"/>
    </row>
    <row r="29" spans="1:17" x14ac:dyDescent="0.35">
      <c r="A29" s="16" t="s">
        <v>73</v>
      </c>
      <c r="B29" s="19">
        <f>B9/THCE_Mcare!$C$17</f>
        <v>1249.3290943176021</v>
      </c>
      <c r="C29" s="19">
        <f>C9/THCE_Mcare!$D$17</f>
        <v>1339.1845735940528</v>
      </c>
      <c r="D29" s="18">
        <f t="shared" ref="D29:D43" si="5">C29/B29-1</f>
        <v>7.1922986253298404E-2</v>
      </c>
      <c r="E29" s="16"/>
      <c r="G29" s="16" t="s">
        <v>73</v>
      </c>
      <c r="H29" s="19">
        <f>H9/THCE_Mcare!$C$18</f>
        <v>1099.8118007352446</v>
      </c>
      <c r="I29" s="19">
        <f>I9/THCE_Mcare!$D$18</f>
        <v>1120.5114046560186</v>
      </c>
      <c r="J29" s="18">
        <f t="shared" ref="J29:J43" si="6">I29/H29-1</f>
        <v>1.882104184273703E-2</v>
      </c>
      <c r="K29" s="16"/>
      <c r="M29" s="16" t="s">
        <v>72</v>
      </c>
      <c r="N29" s="19">
        <f>N8/THCE_Mcare!C$16</f>
        <v>4465.1085296843103</v>
      </c>
      <c r="O29" s="19">
        <f>O8/THCE_Mcare!D$16</f>
        <v>4614.7311392957381</v>
      </c>
      <c r="P29" s="18">
        <f t="shared" ref="P29" si="7">O29/N29-1</f>
        <v>3.3509288434251383E-2</v>
      </c>
      <c r="Q29" s="16"/>
    </row>
    <row r="30" spans="1:17" x14ac:dyDescent="0.35">
      <c r="A30" s="16" t="s">
        <v>74</v>
      </c>
      <c r="B30" s="19">
        <f>B10/THCE_Mcare!$C$17</f>
        <v>731.61051608126922</v>
      </c>
      <c r="C30" s="19">
        <f>C10/THCE_Mcare!$D$17</f>
        <v>756.77751303679736</v>
      </c>
      <c r="D30" s="18">
        <f t="shared" si="5"/>
        <v>3.4399446703322845E-2</v>
      </c>
      <c r="E30" s="16"/>
      <c r="G30" s="16" t="s">
        <v>74</v>
      </c>
      <c r="H30" s="19">
        <f>H10/THCE_Mcare!$C$18</f>
        <v>613.43068878537372</v>
      </c>
      <c r="I30" s="19">
        <f>I10/THCE_Mcare!$D$18</f>
        <v>635.36058353647786</v>
      </c>
      <c r="J30" s="18">
        <f t="shared" si="6"/>
        <v>3.5749588587630887E-2</v>
      </c>
      <c r="K30" s="16"/>
      <c r="M30" s="16" t="s">
        <v>73</v>
      </c>
      <c r="N30" s="19">
        <f>N9/THCE_Mcare!C$16</f>
        <v>2473.8207927445701</v>
      </c>
      <c r="O30" s="19">
        <f>O9/THCE_Mcare!D$16</f>
        <v>2592.7568280062778</v>
      </c>
      <c r="P30" s="18">
        <f t="shared" ref="P30:P35" si="8">O30/N30-1</f>
        <v>4.8077870317257076E-2</v>
      </c>
      <c r="Q30" s="16"/>
    </row>
    <row r="31" spans="1:17" x14ac:dyDescent="0.35">
      <c r="A31" s="16" t="s">
        <v>268</v>
      </c>
      <c r="B31" s="19">
        <f>B11/THCE_Mcare!$C$17</f>
        <v>404.54397554335037</v>
      </c>
      <c r="C31" s="19">
        <f>C11/THCE_Mcare!$D$17</f>
        <v>459.29346341751994</v>
      </c>
      <c r="D31" s="18">
        <f t="shared" si="5"/>
        <v>0.1353363075068279</v>
      </c>
      <c r="E31" s="16"/>
      <c r="G31" s="16" t="s">
        <v>284</v>
      </c>
      <c r="H31" s="19">
        <f>H11/THCE_Mcare!$C$18</f>
        <v>609.82439133663513</v>
      </c>
      <c r="I31" s="19">
        <f>I11/THCE_Mcare!$D$18</f>
        <v>525.77554262607111</v>
      </c>
      <c r="J31" s="18">
        <f t="shared" si="6"/>
        <v>-0.1378246752747011</v>
      </c>
      <c r="K31" s="16"/>
      <c r="M31" s="16" t="s">
        <v>74</v>
      </c>
      <c r="N31" s="19">
        <f>N10/THCE_Mcare!C$16</f>
        <v>3800.2290944820356</v>
      </c>
      <c r="O31" s="19">
        <f>O10/THCE_Mcare!D$16</f>
        <v>4179.3988581815229</v>
      </c>
      <c r="P31" s="18">
        <f t="shared" si="8"/>
        <v>9.9775501495434904E-2</v>
      </c>
      <c r="Q31" s="16"/>
    </row>
    <row r="32" spans="1:17" x14ac:dyDescent="0.35">
      <c r="A32" s="16" t="s">
        <v>75</v>
      </c>
      <c r="B32" s="19">
        <f>B12/THCE_Mcare!$C$17</f>
        <v>2482.3903118619814</v>
      </c>
      <c r="C32" s="19">
        <f>C12/THCE_Mcare!$D$17</f>
        <v>2706.4409093960126</v>
      </c>
      <c r="D32" s="18">
        <f t="shared" si="5"/>
        <v>9.0255990954934084E-2</v>
      </c>
      <c r="E32" s="16"/>
      <c r="G32" s="16" t="s">
        <v>75</v>
      </c>
      <c r="H32" s="19">
        <f>H12/THCE_Mcare!$C$18</f>
        <v>4297.1491110170064</v>
      </c>
      <c r="I32" s="19">
        <f>I12/THCE_Mcare!$D$18</f>
        <v>4974.6358979992247</v>
      </c>
      <c r="J32" s="18">
        <f t="shared" si="6"/>
        <v>0.15765959464736312</v>
      </c>
      <c r="K32" s="16"/>
      <c r="M32" s="16" t="s">
        <v>268</v>
      </c>
      <c r="N32" s="19">
        <f>N11/THCE_Mcare!C$16</f>
        <v>2255.1998374986024</v>
      </c>
      <c r="O32" s="19">
        <f>O11/THCE_Mcare!D$16</f>
        <v>2314.383173393283</v>
      </c>
      <c r="P32" s="18">
        <f t="shared" si="8"/>
        <v>2.62430561188427E-2</v>
      </c>
      <c r="Q32" s="16"/>
    </row>
    <row r="33" spans="1:17" x14ac:dyDescent="0.35">
      <c r="A33" s="16" t="s">
        <v>77</v>
      </c>
      <c r="B33" s="19">
        <f>B13/THCE_Mcare!$C$17</f>
        <v>556.30650897043017</v>
      </c>
      <c r="C33" s="19">
        <f>C13/THCE_Mcare!$D$17</f>
        <v>572.86961837480214</v>
      </c>
      <c r="D33" s="18">
        <f t="shared" si="5"/>
        <v>2.9773351807487858E-2</v>
      </c>
      <c r="E33" s="16"/>
      <c r="G33" s="16" t="s">
        <v>77</v>
      </c>
      <c r="H33" s="19">
        <f>H13/THCE_Mcare!$C$18</f>
        <v>862.43275704404721</v>
      </c>
      <c r="I33" s="19">
        <f>I13/THCE_Mcare!$D$18</f>
        <v>867.61217438202846</v>
      </c>
      <c r="J33" s="18">
        <f t="shared" si="6"/>
        <v>6.0055897641613232E-3</v>
      </c>
      <c r="K33" s="16"/>
      <c r="M33" s="16" t="s">
        <v>75</v>
      </c>
      <c r="N33" s="19">
        <f>N12/THCE_Mcare!C$16</f>
        <v>3755.7049165453468</v>
      </c>
      <c r="O33" s="19">
        <f>O12/THCE_Mcare!D$16</f>
        <v>4165.2973011990944</v>
      </c>
      <c r="P33" s="18">
        <f t="shared" si="8"/>
        <v>0.10905872366312197</v>
      </c>
      <c r="Q33" s="16"/>
    </row>
    <row r="34" spans="1:17" x14ac:dyDescent="0.35">
      <c r="A34" s="16" t="s">
        <v>167</v>
      </c>
      <c r="B34" s="19">
        <f>B14/THCE_Mcare!$C$17</f>
        <v>417.83134978562197</v>
      </c>
      <c r="C34" s="19">
        <f>C14/THCE_Mcare!$D$17</f>
        <v>530.61482639661824</v>
      </c>
      <c r="D34" s="18">
        <f t="shared" si="5"/>
        <v>0.26992583651002366</v>
      </c>
      <c r="E34" s="16"/>
      <c r="G34" s="16" t="s">
        <v>167</v>
      </c>
      <c r="H34" s="19">
        <f>H14/THCE_Mcare!$C$18</f>
        <v>924.09184111845536</v>
      </c>
      <c r="I34" s="19">
        <f>I14/THCE_Mcare!$D$18</f>
        <v>1055.2109744700726</v>
      </c>
      <c r="J34" s="18">
        <f t="shared" si="6"/>
        <v>0.14188972082354923</v>
      </c>
      <c r="K34" s="16"/>
      <c r="M34" s="16" t="s">
        <v>77</v>
      </c>
      <c r="N34" s="19">
        <f>N13/THCE_Mcare!C$16</f>
        <v>2173.9533335323626</v>
      </c>
      <c r="O34" s="19">
        <f>O13/THCE_Mcare!D$16</f>
        <v>2434.4993399128389</v>
      </c>
      <c r="P34" s="18">
        <f t="shared" si="8"/>
        <v>0.1198489417236599</v>
      </c>
      <c r="Q34" s="16"/>
    </row>
    <row r="35" spans="1:17" x14ac:dyDescent="0.35">
      <c r="A35" s="16" t="s">
        <v>168</v>
      </c>
      <c r="B35" s="19">
        <f>B15/THCE_Mcare!$C$17</f>
        <v>6.8756746368197339</v>
      </c>
      <c r="C35" s="19">
        <f>C15/THCE_Mcare!$D$17</f>
        <v>8.116987408602105</v>
      </c>
      <c r="D35" s="18">
        <f t="shared" si="5"/>
        <v>0.18053686908555155</v>
      </c>
      <c r="E35" s="16"/>
      <c r="G35" s="16" t="s">
        <v>168</v>
      </c>
      <c r="H35" s="19">
        <f>H15/THCE_Mcare!$C$18</f>
        <v>6.3386451371372106</v>
      </c>
      <c r="I35" s="19">
        <f>I15/THCE_Mcare!$D$18</f>
        <v>8.9459829007590717</v>
      </c>
      <c r="J35" s="18">
        <f t="shared" si="6"/>
        <v>0.41133991684529625</v>
      </c>
      <c r="K35" s="16"/>
      <c r="M35" s="54" t="s">
        <v>86</v>
      </c>
      <c r="N35" s="72">
        <f>N14/THCE_Mcare!C$16</f>
        <v>18924.016504487226</v>
      </c>
      <c r="O35" s="72">
        <f>O14/THCE_Mcare!D$16</f>
        <v>20301.066639988756</v>
      </c>
      <c r="P35" s="47">
        <f t="shared" si="8"/>
        <v>7.2767329027376704E-2</v>
      </c>
      <c r="Q35" s="54"/>
    </row>
    <row r="36" spans="1:17" x14ac:dyDescent="0.35">
      <c r="A36" s="16" t="s">
        <v>166</v>
      </c>
      <c r="B36" s="19">
        <f>B16/THCE_Mcare!$C$17</f>
        <v>6744.033603333708</v>
      </c>
      <c r="C36" s="19">
        <f>C16/THCE_Mcare!$D$17</f>
        <v>6946.01725093185</v>
      </c>
      <c r="D36" s="18">
        <f t="shared" si="5"/>
        <v>2.9949976450042826E-2</v>
      </c>
      <c r="E36" s="16"/>
      <c r="G36" s="16" t="s">
        <v>166</v>
      </c>
      <c r="H36" s="19">
        <f>H16/THCE_Mcare!$C$18</f>
        <v>9168.8379823123996</v>
      </c>
      <c r="I36" s="19">
        <f>I16/THCE_Mcare!$D$18</f>
        <v>9940.2865177981857</v>
      </c>
      <c r="J36" s="18">
        <f t="shared" si="6"/>
        <v>8.4138092195978009E-2</v>
      </c>
      <c r="K36" s="16"/>
      <c r="M36" s="14"/>
      <c r="N36" s="71"/>
      <c r="O36" s="71"/>
      <c r="P36" s="36"/>
      <c r="Q36" s="14"/>
    </row>
    <row r="37" spans="1:17" x14ac:dyDescent="0.35">
      <c r="A37" s="16" t="s">
        <v>78</v>
      </c>
      <c r="B37" s="19">
        <f>B17/THCE_Mcare!$C$17</f>
        <v>19.133190261950187</v>
      </c>
      <c r="C37" s="19">
        <f>C17/THCE_Mcare!$D$17</f>
        <v>5.8371984547351703</v>
      </c>
      <c r="D37" s="18">
        <f t="shared" si="5"/>
        <v>-0.69491766010692446</v>
      </c>
      <c r="E37" s="16"/>
      <c r="G37" s="16" t="s">
        <v>78</v>
      </c>
      <c r="H37" s="19">
        <f>H17/THCE_Mcare!$C$18</f>
        <v>10.566346915103198</v>
      </c>
      <c r="I37" s="19">
        <f>I17/THCE_Mcare!$D$18</f>
        <v>4.8593014857252355</v>
      </c>
      <c r="J37" s="18">
        <f t="shared" si="6"/>
        <v>-0.54011528063880765</v>
      </c>
      <c r="K37" s="16"/>
      <c r="M37" s="14"/>
      <c r="N37"/>
      <c r="O37"/>
      <c r="P37"/>
      <c r="Q37"/>
    </row>
    <row r="38" spans="1:17" x14ac:dyDescent="0.35">
      <c r="A38" s="16" t="s">
        <v>79</v>
      </c>
      <c r="B38" s="19">
        <f>B18/THCE_Mcare!$C$17</f>
        <v>1.2182207419633289</v>
      </c>
      <c r="C38" s="19">
        <f>C18/THCE_Mcare!$D$17</f>
        <v>0.89349587915473849</v>
      </c>
      <c r="D38" s="18">
        <f t="shared" si="5"/>
        <v>-0.26655666877355244</v>
      </c>
      <c r="E38" s="26"/>
      <c r="G38" s="16" t="s">
        <v>79</v>
      </c>
      <c r="H38" s="19">
        <f>H18/THCE_Mcare!$C$18</f>
        <v>0.40459619857738172</v>
      </c>
      <c r="I38" s="19">
        <f>I18/THCE_Mcare!$D$18</f>
        <v>0.28165058923952857</v>
      </c>
      <c r="J38" s="18">
        <f t="shared" si="6"/>
        <v>-0.30387237885612262</v>
      </c>
      <c r="K38" s="26"/>
      <c r="M38"/>
      <c r="N38"/>
      <c r="O38"/>
      <c r="P38"/>
      <c r="Q38"/>
    </row>
    <row r="39" spans="1:17" x14ac:dyDescent="0.35">
      <c r="A39" s="16" t="s">
        <v>80</v>
      </c>
      <c r="B39" s="19">
        <f>B19/THCE_Mcare!$C$17</f>
        <v>18.401091822142092</v>
      </c>
      <c r="C39" s="19">
        <f>C19/THCE_Mcare!$D$17</f>
        <v>17.352860245456984</v>
      </c>
      <c r="D39" s="18">
        <f t="shared" ref="D39:D40" si="9">C39/B39-1</f>
        <v>-5.6965727187110016E-2</v>
      </c>
      <c r="E39" s="16"/>
      <c r="G39" s="16" t="s">
        <v>80</v>
      </c>
      <c r="H39" s="19">
        <f>H19/THCE_Mcare!$C$18</f>
        <v>22.428997968564921</v>
      </c>
      <c r="I39" s="19">
        <f>I19/THCE_Mcare!$D$18</f>
        <v>38.693230796804151</v>
      </c>
      <c r="J39" s="18">
        <f t="shared" si="6"/>
        <v>0.72514308713363662</v>
      </c>
      <c r="K39" s="16"/>
      <c r="M39"/>
      <c r="N39"/>
      <c r="O39"/>
      <c r="P39"/>
      <c r="Q39"/>
    </row>
    <row r="40" spans="1:17" x14ac:dyDescent="0.35">
      <c r="A40" s="16" t="s">
        <v>255</v>
      </c>
      <c r="B40" s="19">
        <f>B20/THCE_Mcare!$C$17</f>
        <v>606.53470131848167</v>
      </c>
      <c r="C40" s="19">
        <f>C20/THCE_Mcare!$D$17</f>
        <v>501.44345361456129</v>
      </c>
      <c r="D40" s="18">
        <f t="shared" si="9"/>
        <v>-0.17326502090560292</v>
      </c>
      <c r="E40" s="16"/>
      <c r="G40" s="16" t="s">
        <v>255</v>
      </c>
      <c r="H40" s="19">
        <f>H20/THCE_Mcare!$C$18</f>
        <v>236.28015699126667</v>
      </c>
      <c r="I40" s="19">
        <f>I20/THCE_Mcare!$D$18</f>
        <v>852.75394247641259</v>
      </c>
      <c r="J40" s="18">
        <f t="shared" si="6"/>
        <v>2.6090798031251174</v>
      </c>
      <c r="K40" s="16"/>
      <c r="M40"/>
      <c r="N40"/>
      <c r="O40"/>
      <c r="P40"/>
      <c r="Q40"/>
    </row>
    <row r="41" spans="1:17" x14ac:dyDescent="0.35">
      <c r="A41" s="54" t="s">
        <v>81</v>
      </c>
      <c r="B41" s="72">
        <f>B21/THCE_Mcare!$C$17</f>
        <v>7750.0173608192999</v>
      </c>
      <c r="C41" s="72">
        <f>C21/THCE_Mcare!$D$17</f>
        <v>8207.80720215976</v>
      </c>
      <c r="D41" s="47">
        <f t="shared" si="5"/>
        <v>5.9069524625176451E-2</v>
      </c>
      <c r="E41" s="16"/>
      <c r="G41" s="54" t="s">
        <v>81</v>
      </c>
      <c r="H41" s="72">
        <f>H21/THCE_Mcare!$C$18</f>
        <v>10495.797264620502</v>
      </c>
      <c r="I41" s="72">
        <f>I21/THCE_Mcare!$D$18</f>
        <v>10927.323247344324</v>
      </c>
      <c r="J41" s="47">
        <f t="shared" si="6"/>
        <v>4.111416901871956E-2</v>
      </c>
      <c r="K41" s="16"/>
      <c r="M41"/>
      <c r="N41"/>
      <c r="O41"/>
      <c r="P41"/>
      <c r="Q41"/>
    </row>
    <row r="42" spans="1:17" x14ac:dyDescent="0.35">
      <c r="A42" s="54" t="s">
        <v>82</v>
      </c>
      <c r="B42" s="72">
        <f>B22/THCE_Mcare!$C$17</f>
        <v>7325.3103363968585</v>
      </c>
      <c r="C42" s="72">
        <f>C22/THCE_Mcare!$D$17</f>
        <v>7669.0753883545403</v>
      </c>
      <c r="D42" s="47">
        <f t="shared" si="5"/>
        <v>4.6928394316570587E-2</v>
      </c>
      <c r="E42" s="16"/>
      <c r="G42" s="54" t="s">
        <v>82</v>
      </c>
      <c r="H42" s="72">
        <f>H22/THCE_Mcare!$C$18</f>
        <v>9565.3667783649089</v>
      </c>
      <c r="I42" s="72">
        <f>I22/THCE_Mcare!$D$18</f>
        <v>9863.1662899734929</v>
      </c>
      <c r="J42" s="47">
        <f t="shared" si="6"/>
        <v>3.1133099075944637E-2</v>
      </c>
      <c r="K42" s="16"/>
      <c r="N42"/>
      <c r="O42"/>
      <c r="P42"/>
      <c r="Q42"/>
    </row>
    <row r="43" spans="1:17" x14ac:dyDescent="0.35">
      <c r="A43" s="54" t="s">
        <v>83</v>
      </c>
      <c r="B43" s="72">
        <f>B23/THCE_Mcare!$C$17</f>
        <v>7389.3208074782451</v>
      </c>
      <c r="C43" s="72">
        <f>C23/THCE_Mcare!$D$17</f>
        <v>7471.5442591257579</v>
      </c>
      <c r="D43" s="47">
        <f t="shared" si="5"/>
        <v>1.1127335487221002E-2</v>
      </c>
      <c r="E43" s="16"/>
      <c r="G43" s="54" t="s">
        <v>83</v>
      </c>
      <c r="H43" s="72">
        <f>H23/THCE_Mcare!$C$18</f>
        <v>9438.5180803859112</v>
      </c>
      <c r="I43" s="72">
        <f>I23/THCE_Mcare!$D$18</f>
        <v>10836.874643146368</v>
      </c>
      <c r="J43" s="47">
        <f t="shared" si="6"/>
        <v>0.14815424951787382</v>
      </c>
      <c r="K43" s="16"/>
      <c r="N43"/>
      <c r="O43"/>
      <c r="P43"/>
      <c r="Q43"/>
    </row>
    <row r="44" spans="1:17" x14ac:dyDescent="0.35">
      <c r="N44"/>
      <c r="O44"/>
      <c r="P44"/>
      <c r="Q44"/>
    </row>
    <row r="45" spans="1:17" customFormat="1" ht="14" x14ac:dyDescent="0.3"/>
    <row r="46" spans="1:17" customFormat="1" ht="14" x14ac:dyDescent="0.3"/>
    <row r="47" spans="1:17" customFormat="1" ht="14" x14ac:dyDescent="0.3"/>
    <row r="48" spans="1:17" customFormat="1" ht="14" x14ac:dyDescent="0.3"/>
    <row r="49" spans="19:27" customFormat="1" ht="14" x14ac:dyDescent="0.3"/>
    <row r="50" spans="19:27" customFormat="1" ht="14" x14ac:dyDescent="0.3"/>
    <row r="51" spans="19:27" customFormat="1" ht="14" x14ac:dyDescent="0.3"/>
    <row r="52" spans="19:27" customFormat="1" ht="14" x14ac:dyDescent="0.3"/>
    <row r="53" spans="19:27" customFormat="1" ht="14" x14ac:dyDescent="0.3"/>
    <row r="54" spans="19:27" customFormat="1" ht="14" x14ac:dyDescent="0.3"/>
    <row r="55" spans="19:27" customFormat="1" ht="14" x14ac:dyDescent="0.3"/>
    <row r="56" spans="19:27" x14ac:dyDescent="0.35">
      <c r="S56" s="28"/>
      <c r="AA56" s="28"/>
    </row>
  </sheetData>
  <sheetProtection algorithmName="SHA-512" hashValue="VAE0oahahQ0MZyzolL5XoPE5xODX2htw5lvGfuI0BVTIkp9+qDXaSgufj4kgJ1QDvNl3HDnFWHqIz9QsGO6epA==" saltValue="mfalzfkqJ/IcNeU0wJEYow==" spinCount="100000" sheet="1" objects="1" scenarios="1"/>
  <mergeCells count="18">
    <mergeCell ref="G6:G7"/>
    <mergeCell ref="H6:I6"/>
    <mergeCell ref="K6:K7"/>
    <mergeCell ref="G26:G27"/>
    <mergeCell ref="H26:I26"/>
    <mergeCell ref="K26:K27"/>
    <mergeCell ref="M6:M7"/>
    <mergeCell ref="N6:O6"/>
    <mergeCell ref="Q6:Q7"/>
    <mergeCell ref="M27:M28"/>
    <mergeCell ref="N27:O27"/>
    <mergeCell ref="Q27:Q28"/>
    <mergeCell ref="A6:A7"/>
    <mergeCell ref="B6:C6"/>
    <mergeCell ref="E6:E7"/>
    <mergeCell ref="A26:A27"/>
    <mergeCell ref="B26:C26"/>
    <mergeCell ref="E26:E2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5583-1BA5-4081-A8C3-3EB91009A1EF}">
  <sheetPr>
    <tabColor rgb="FF004891"/>
  </sheetPr>
  <dimension ref="A1:AY113"/>
  <sheetViews>
    <sheetView showGridLines="0" zoomScale="80" zoomScaleNormal="80" workbookViewId="0"/>
  </sheetViews>
  <sheetFormatPr defaultColWidth="8.6640625" defaultRowHeight="15.5" x14ac:dyDescent="0.35"/>
  <cols>
    <col min="1" max="1" width="19" style="15" customWidth="1"/>
    <col min="2" max="2" width="51" style="15" customWidth="1"/>
    <col min="3" max="3" width="23.4140625" style="15" customWidth="1"/>
    <col min="4" max="4" width="21.9140625" style="15" customWidth="1"/>
    <col min="5" max="5" width="19.58203125" style="15" customWidth="1"/>
    <col min="6" max="6" width="23.83203125" style="15" customWidth="1"/>
    <col min="7" max="7" width="22.6640625" style="15" customWidth="1"/>
    <col min="8" max="8" width="22.08203125" style="15" customWidth="1"/>
    <col min="9" max="9" width="18.6640625" style="15" customWidth="1"/>
    <col min="10" max="10" width="17.9140625" style="15" customWidth="1"/>
    <col min="11" max="11" width="14" style="15" customWidth="1"/>
    <col min="12" max="13" width="8.08203125" customWidth="1"/>
    <col min="14" max="14" width="22.6640625" customWidth="1"/>
    <col min="15" max="15" width="45.6640625" customWidth="1"/>
    <col min="16" max="16" width="23.33203125" customWidth="1"/>
    <col min="17" max="17" width="22.6640625" customWidth="1"/>
    <col min="18" max="18" width="14.5" customWidth="1"/>
    <col min="19" max="19" width="27.08203125" customWidth="1"/>
    <col min="20" max="20" width="22" customWidth="1"/>
    <col min="21" max="21" width="18.83203125" customWidth="1"/>
    <col min="22" max="22" width="28" customWidth="1"/>
    <col min="23" max="23" width="26" customWidth="1"/>
    <col min="24" max="24" width="18.58203125" customWidth="1"/>
    <col min="28" max="28" width="45.5" customWidth="1"/>
    <col min="29" max="29" width="19.5" customWidth="1"/>
    <col min="30" max="30" width="20.58203125" customWidth="1"/>
    <col min="31" max="31" width="16.58203125" customWidth="1"/>
    <col min="32" max="32" width="21.33203125" customWidth="1"/>
    <col min="33" max="33" width="18.5" customWidth="1"/>
    <col min="34" max="34" width="16" customWidth="1"/>
    <col min="35" max="35" width="13.83203125" customWidth="1"/>
    <col min="36" max="36" width="18.5" customWidth="1"/>
    <col min="37" max="37" width="11.5" customWidth="1"/>
    <col min="41" max="41" width="45.5" customWidth="1"/>
    <col min="42" max="42" width="18.4140625" customWidth="1"/>
    <col min="43" max="43" width="32.6640625" customWidth="1"/>
    <col min="44" max="44" width="16.9140625" customWidth="1"/>
    <col min="45" max="45" width="25.08203125" customWidth="1"/>
    <col min="46" max="46" width="27.6640625" customWidth="1"/>
    <col min="47" max="47" width="17.9140625" customWidth="1"/>
    <col min="48" max="48" width="15.6640625" customWidth="1"/>
    <col min="49" max="49" width="19.4140625" customWidth="1"/>
    <col min="50" max="50" width="11.08203125" customWidth="1"/>
    <col min="52" max="16384" width="8.6640625" style="15"/>
  </cols>
  <sheetData>
    <row r="1" spans="1:51" s="40" customFormat="1" ht="20" x14ac:dyDescent="0.4">
      <c r="A1" s="40" t="s">
        <v>0</v>
      </c>
      <c r="L1"/>
      <c r="M1"/>
      <c r="N1"/>
      <c r="O1"/>
      <c r="P1"/>
      <c r="Q1"/>
      <c r="R1"/>
      <c r="S1"/>
      <c r="T1"/>
      <c r="U1"/>
      <c r="V1"/>
      <c r="W1"/>
      <c r="X1"/>
      <c r="Y1"/>
      <c r="Z1"/>
      <c r="AA1"/>
      <c r="AB1"/>
      <c r="AC1"/>
      <c r="AD1"/>
      <c r="AE1"/>
      <c r="AF1"/>
      <c r="AG1"/>
      <c r="AH1"/>
      <c r="AI1"/>
      <c r="AJ1"/>
      <c r="AK1"/>
      <c r="AL1"/>
      <c r="AM1"/>
      <c r="AN1"/>
      <c r="AO1"/>
      <c r="AP1"/>
      <c r="AQ1"/>
      <c r="AR1"/>
      <c r="AS1"/>
      <c r="AT1"/>
      <c r="AU1"/>
      <c r="AV1"/>
      <c r="AW1"/>
      <c r="AX1"/>
      <c r="AY1"/>
    </row>
    <row r="2" spans="1:51" s="41" customFormat="1" x14ac:dyDescent="0.3">
      <c r="A2" s="41" t="s">
        <v>257</v>
      </c>
      <c r="L2"/>
      <c r="M2"/>
      <c r="N2"/>
      <c r="O2"/>
      <c r="P2"/>
      <c r="Q2"/>
      <c r="R2"/>
      <c r="S2"/>
      <c r="T2"/>
      <c r="U2"/>
      <c r="V2"/>
      <c r="W2"/>
      <c r="X2"/>
      <c r="Y2"/>
      <c r="Z2"/>
      <c r="AA2"/>
      <c r="AB2"/>
      <c r="AC2"/>
      <c r="AD2"/>
      <c r="AE2"/>
      <c r="AF2"/>
      <c r="AG2"/>
      <c r="AH2"/>
      <c r="AI2"/>
      <c r="AJ2"/>
      <c r="AK2"/>
      <c r="AL2"/>
      <c r="AM2"/>
      <c r="AN2"/>
      <c r="AO2"/>
      <c r="AP2"/>
      <c r="AQ2"/>
      <c r="AR2"/>
      <c r="AS2"/>
      <c r="AT2"/>
      <c r="AU2"/>
      <c r="AV2"/>
      <c r="AW2"/>
      <c r="AX2"/>
      <c r="AY2"/>
    </row>
    <row r="4" spans="1:51" ht="16" thickBot="1" x14ac:dyDescent="0.4">
      <c r="A4" s="42" t="s">
        <v>256</v>
      </c>
    </row>
    <row r="5" spans="1:51" ht="15.65" customHeight="1" x14ac:dyDescent="0.35">
      <c r="A5" s="244" t="s">
        <v>87</v>
      </c>
      <c r="B5" s="246" t="s">
        <v>88</v>
      </c>
      <c r="C5" s="248">
        <v>2022</v>
      </c>
      <c r="D5" s="249"/>
      <c r="E5" s="250"/>
      <c r="F5" s="248">
        <v>2023</v>
      </c>
      <c r="G5" s="249"/>
      <c r="H5" s="250"/>
      <c r="I5" s="248" t="s">
        <v>89</v>
      </c>
      <c r="J5" s="249"/>
      <c r="K5" s="250"/>
    </row>
    <row r="6" spans="1:51" ht="15.65" customHeight="1" x14ac:dyDescent="0.35">
      <c r="A6" s="245"/>
      <c r="B6" s="247"/>
      <c r="C6" s="150" t="s">
        <v>90</v>
      </c>
      <c r="D6" s="135" t="s">
        <v>160</v>
      </c>
      <c r="E6" s="151" t="s">
        <v>161</v>
      </c>
      <c r="F6" s="161" t="s">
        <v>90</v>
      </c>
      <c r="G6" s="125" t="s">
        <v>160</v>
      </c>
      <c r="H6" s="162" t="s">
        <v>161</v>
      </c>
      <c r="I6" s="161" t="s">
        <v>90</v>
      </c>
      <c r="J6" s="125" t="s">
        <v>160</v>
      </c>
      <c r="K6" s="162" t="s">
        <v>161</v>
      </c>
    </row>
    <row r="7" spans="1:51" x14ac:dyDescent="0.35">
      <c r="A7" s="136" t="s">
        <v>91</v>
      </c>
      <c r="B7" s="146" t="s">
        <v>92</v>
      </c>
      <c r="C7" s="152">
        <v>3566586801</v>
      </c>
      <c r="D7" s="140">
        <v>438931.33333333331</v>
      </c>
      <c r="E7" s="153">
        <v>8125.6144871559263</v>
      </c>
      <c r="F7" s="152">
        <v>3966068504</v>
      </c>
      <c r="G7" s="140">
        <v>447195.08333333337</v>
      </c>
      <c r="H7" s="153">
        <v>8868.7658961664947</v>
      </c>
      <c r="I7" s="163">
        <f t="shared" ref="I7:I31" si="0">(F7/C7)-1</f>
        <v>0.11200672387617017</v>
      </c>
      <c r="J7" s="143">
        <f t="shared" ref="J7:J31" si="1">(G7/D7)-1</f>
        <v>1.8826976732883249E-2</v>
      </c>
      <c r="K7" s="164">
        <f t="shared" ref="K7:K31" si="2">(H7/E7)-1</f>
        <v>9.1457871916672984E-2</v>
      </c>
    </row>
    <row r="8" spans="1:51" x14ac:dyDescent="0.35">
      <c r="A8" s="137" t="s">
        <v>93</v>
      </c>
      <c r="B8" s="147" t="s">
        <v>94</v>
      </c>
      <c r="C8" s="154">
        <v>7239623377</v>
      </c>
      <c r="D8" s="141">
        <v>810834.83333333337</v>
      </c>
      <c r="E8" s="155">
        <v>8928.6042969293576</v>
      </c>
      <c r="F8" s="154">
        <v>7678476235</v>
      </c>
      <c r="G8" s="141">
        <v>810118.33333333326</v>
      </c>
      <c r="H8" s="155">
        <v>9478.2156125339716</v>
      </c>
      <c r="I8" s="165">
        <f t="shared" si="0"/>
        <v>6.0618188978478926E-2</v>
      </c>
      <c r="J8" s="144">
        <f t="shared" si="1"/>
        <v>-8.8365715253568844E-4</v>
      </c>
      <c r="K8" s="166">
        <f t="shared" si="2"/>
        <v>6.155624074343069E-2</v>
      </c>
    </row>
    <row r="9" spans="1:51" x14ac:dyDescent="0.35">
      <c r="A9" s="137" t="s">
        <v>95</v>
      </c>
      <c r="B9" s="147" t="s">
        <v>96</v>
      </c>
      <c r="C9" s="154">
        <v>12352230174</v>
      </c>
      <c r="D9" s="141">
        <v>1425527</v>
      </c>
      <c r="E9" s="155">
        <v>8665.0271611831977</v>
      </c>
      <c r="F9" s="154">
        <v>13252824353</v>
      </c>
      <c r="G9" s="141">
        <v>1429455.5</v>
      </c>
      <c r="H9" s="155">
        <v>9271.2395405103543</v>
      </c>
      <c r="I9" s="165">
        <f t="shared" si="0"/>
        <v>7.2909439535513654E-2</v>
      </c>
      <c r="J9" s="144">
        <f t="shared" si="1"/>
        <v>2.7558229342552476E-3</v>
      </c>
      <c r="K9" s="166">
        <f t="shared" si="2"/>
        <v>6.9960816977332918E-2</v>
      </c>
    </row>
    <row r="10" spans="1:51" x14ac:dyDescent="0.35">
      <c r="A10" s="137" t="s">
        <v>97</v>
      </c>
      <c r="B10" s="147" t="s">
        <v>98</v>
      </c>
      <c r="C10" s="154">
        <v>4367458396</v>
      </c>
      <c r="D10" s="141">
        <v>487583.66666666669</v>
      </c>
      <c r="E10" s="155">
        <v>8957.351721516512</v>
      </c>
      <c r="F10" s="154">
        <v>4712407237</v>
      </c>
      <c r="G10" s="141">
        <v>490894.58333333331</v>
      </c>
      <c r="H10" s="155">
        <v>9599.6317681919154</v>
      </c>
      <c r="I10" s="165">
        <f t="shared" si="0"/>
        <v>7.8981597470035858E-2</v>
      </c>
      <c r="J10" s="144">
        <f t="shared" si="1"/>
        <v>6.7904585264340067E-3</v>
      </c>
      <c r="K10" s="166">
        <f t="shared" si="2"/>
        <v>7.1704234314320603E-2</v>
      </c>
    </row>
    <row r="11" spans="1:51" x14ac:dyDescent="0.35">
      <c r="A11" s="137" t="s">
        <v>99</v>
      </c>
      <c r="B11" s="147" t="s">
        <v>100</v>
      </c>
      <c r="C11" s="154">
        <v>6357369447</v>
      </c>
      <c r="D11" s="141">
        <v>749245.5</v>
      </c>
      <c r="E11" s="155">
        <v>8485.0285347059144</v>
      </c>
      <c r="F11" s="154">
        <v>6651274696</v>
      </c>
      <c r="G11" s="141">
        <v>746766.16666666663</v>
      </c>
      <c r="H11" s="155">
        <v>8906.7702754789152</v>
      </c>
      <c r="I11" s="165">
        <f t="shared" si="0"/>
        <v>4.6230638544798142E-2</v>
      </c>
      <c r="J11" s="144">
        <f t="shared" si="1"/>
        <v>-3.3091067391574081E-3</v>
      </c>
      <c r="K11" s="166">
        <f t="shared" si="2"/>
        <v>4.9704221859475206E-2</v>
      </c>
    </row>
    <row r="12" spans="1:51" x14ac:dyDescent="0.35">
      <c r="A12" s="137" t="s">
        <v>101</v>
      </c>
      <c r="B12" s="147" t="s">
        <v>102</v>
      </c>
      <c r="C12" s="154">
        <v>8285705237</v>
      </c>
      <c r="D12" s="141">
        <v>1054140.4166666667</v>
      </c>
      <c r="E12" s="155">
        <v>7860.1532642117172</v>
      </c>
      <c r="F12" s="154">
        <v>8805437609</v>
      </c>
      <c r="G12" s="141">
        <v>1047764.3333333333</v>
      </c>
      <c r="H12" s="155">
        <v>8404.0249594931174</v>
      </c>
      <c r="I12" s="165">
        <f t="shared" si="0"/>
        <v>6.2726389261245297E-2</v>
      </c>
      <c r="J12" s="144">
        <f t="shared" si="1"/>
        <v>-6.0486091155631527E-3</v>
      </c>
      <c r="K12" s="166">
        <f t="shared" si="2"/>
        <v>6.9193522950464326E-2</v>
      </c>
    </row>
    <row r="13" spans="1:51" x14ac:dyDescent="0.35">
      <c r="A13" s="137" t="s">
        <v>103</v>
      </c>
      <c r="B13" s="147" t="s">
        <v>104</v>
      </c>
      <c r="C13" s="154">
        <v>9803204381</v>
      </c>
      <c r="D13" s="141">
        <v>1226173.1666666667</v>
      </c>
      <c r="E13" s="155">
        <v>7994.9591521806524</v>
      </c>
      <c r="F13" s="154">
        <v>10336939776</v>
      </c>
      <c r="G13" s="141">
        <v>1222117.1666666665</v>
      </c>
      <c r="H13" s="155">
        <v>8458.2232030944106</v>
      </c>
      <c r="I13" s="165">
        <f t="shared" si="0"/>
        <v>5.4444993112094497E-2</v>
      </c>
      <c r="J13" s="144">
        <f t="shared" si="1"/>
        <v>-3.3078525205590958E-3</v>
      </c>
      <c r="K13" s="166">
        <f t="shared" si="2"/>
        <v>5.7944517551087316E-2</v>
      </c>
    </row>
    <row r="14" spans="1:51" x14ac:dyDescent="0.35">
      <c r="A14" s="137" t="s">
        <v>105</v>
      </c>
      <c r="B14" s="147" t="s">
        <v>106</v>
      </c>
      <c r="C14" s="154">
        <v>4232714887</v>
      </c>
      <c r="D14" s="141">
        <v>478329.33333333331</v>
      </c>
      <c r="E14" s="155">
        <v>8848.9552950965444</v>
      </c>
      <c r="F14" s="154">
        <v>4522725505</v>
      </c>
      <c r="G14" s="141">
        <v>477100.33333333337</v>
      </c>
      <c r="H14" s="155">
        <v>9479.6108680144844</v>
      </c>
      <c r="I14" s="165">
        <f t="shared" si="0"/>
        <v>6.8516454744143918E-2</v>
      </c>
      <c r="J14" s="144">
        <f t="shared" si="1"/>
        <v>-2.5693594650267881E-3</v>
      </c>
      <c r="K14" s="166">
        <f t="shared" si="2"/>
        <v>7.1268929708279138E-2</v>
      </c>
    </row>
    <row r="15" spans="1:51" x14ac:dyDescent="0.35">
      <c r="A15" s="137" t="s">
        <v>107</v>
      </c>
      <c r="B15" s="147" t="s">
        <v>108</v>
      </c>
      <c r="C15" s="154">
        <v>2531945057</v>
      </c>
      <c r="D15" s="141">
        <v>294999</v>
      </c>
      <c r="E15" s="155">
        <v>8582.8936945548976</v>
      </c>
      <c r="F15" s="154">
        <v>2634881209</v>
      </c>
      <c r="G15" s="141">
        <v>292472.91666666669</v>
      </c>
      <c r="H15" s="155">
        <v>9008.9750498265512</v>
      </c>
      <c r="I15" s="165">
        <f t="shared" si="0"/>
        <v>4.0654970657998835E-2</v>
      </c>
      <c r="J15" s="144">
        <f t="shared" si="1"/>
        <v>-8.5630233774802722E-3</v>
      </c>
      <c r="K15" s="166">
        <f t="shared" si="2"/>
        <v>4.9643088966832449E-2</v>
      </c>
    </row>
    <row r="16" spans="1:51" x14ac:dyDescent="0.35">
      <c r="A16" s="137" t="s">
        <v>109</v>
      </c>
      <c r="B16" s="147" t="s">
        <v>110</v>
      </c>
      <c r="C16" s="154">
        <v>6874888513</v>
      </c>
      <c r="D16" s="141">
        <v>890517.83333333337</v>
      </c>
      <c r="E16" s="155">
        <v>7720.1020076895329</v>
      </c>
      <c r="F16" s="154">
        <v>7383283185</v>
      </c>
      <c r="G16" s="141">
        <v>903074.91666666663</v>
      </c>
      <c r="H16" s="155">
        <v>8175.7150472658277</v>
      </c>
      <c r="I16" s="165">
        <f t="shared" si="0"/>
        <v>7.394951511412251E-2</v>
      </c>
      <c r="J16" s="144">
        <f t="shared" si="1"/>
        <v>1.4100878009742246E-2</v>
      </c>
      <c r="K16" s="166">
        <f t="shared" si="2"/>
        <v>5.9016453295887228E-2</v>
      </c>
    </row>
    <row r="17" spans="1:51" x14ac:dyDescent="0.35">
      <c r="A17" s="137" t="s">
        <v>111</v>
      </c>
      <c r="B17" s="147" t="s">
        <v>112</v>
      </c>
      <c r="C17" s="154">
        <v>3856788058</v>
      </c>
      <c r="D17" s="141">
        <v>499311.5</v>
      </c>
      <c r="E17" s="155">
        <v>7724.2123564147832</v>
      </c>
      <c r="F17" s="154">
        <v>4163273642</v>
      </c>
      <c r="G17" s="141">
        <v>507048.08333333331</v>
      </c>
      <c r="H17" s="155">
        <v>8210.8063886774707</v>
      </c>
      <c r="I17" s="165">
        <f t="shared" si="0"/>
        <v>7.9466535207779465E-2</v>
      </c>
      <c r="J17" s="144">
        <f t="shared" si="1"/>
        <v>1.5494502596742343E-2</v>
      </c>
      <c r="K17" s="166">
        <f t="shared" si="2"/>
        <v>6.2995941826817115E-2</v>
      </c>
    </row>
    <row r="18" spans="1:51" x14ac:dyDescent="0.35">
      <c r="A18" s="137" t="s">
        <v>113</v>
      </c>
      <c r="B18" s="147" t="s">
        <v>114</v>
      </c>
      <c r="C18" s="154">
        <v>5292343604</v>
      </c>
      <c r="D18" s="141">
        <v>714628.83333333337</v>
      </c>
      <c r="E18" s="155">
        <v>7405.7235828482517</v>
      </c>
      <c r="F18" s="154">
        <v>5620119822</v>
      </c>
      <c r="G18" s="141">
        <v>707841.91666666674</v>
      </c>
      <c r="H18" s="155">
        <v>7939.7951571814001</v>
      </c>
      <c r="I18" s="165">
        <f t="shared" si="0"/>
        <v>6.1934039534444318E-2</v>
      </c>
      <c r="J18" s="144">
        <f t="shared" si="1"/>
        <v>-9.4971212328637256E-3</v>
      </c>
      <c r="K18" s="166">
        <f t="shared" si="2"/>
        <v>7.2116055691042069E-2</v>
      </c>
    </row>
    <row r="19" spans="1:51" x14ac:dyDescent="0.35">
      <c r="A19" s="137" t="s">
        <v>115</v>
      </c>
      <c r="B19" s="147" t="s">
        <v>116</v>
      </c>
      <c r="C19" s="154">
        <v>531153123</v>
      </c>
      <c r="D19" s="141">
        <v>72615.75</v>
      </c>
      <c r="E19" s="155">
        <v>7314.5718800673403</v>
      </c>
      <c r="F19" s="154">
        <v>618824775</v>
      </c>
      <c r="G19" s="141">
        <v>76163.166666666672</v>
      </c>
      <c r="H19" s="155">
        <v>8124.98747207202</v>
      </c>
      <c r="I19" s="165">
        <f t="shared" si="0"/>
        <v>0.1650590916322261</v>
      </c>
      <c r="J19" s="144">
        <f t="shared" si="1"/>
        <v>4.8851890487486171E-2</v>
      </c>
      <c r="K19" s="166">
        <f t="shared" si="2"/>
        <v>0.11079467196338744</v>
      </c>
    </row>
    <row r="20" spans="1:51" x14ac:dyDescent="0.35">
      <c r="A20" s="137" t="s">
        <v>117</v>
      </c>
      <c r="B20" s="147" t="s">
        <v>118</v>
      </c>
      <c r="C20" s="154">
        <v>2333239127</v>
      </c>
      <c r="D20" s="141">
        <v>340107.58333333331</v>
      </c>
      <c r="E20" s="155">
        <v>6860.2972745633679</v>
      </c>
      <c r="F20" s="154">
        <v>2508623010</v>
      </c>
      <c r="G20" s="141">
        <v>342612.5</v>
      </c>
      <c r="H20" s="155">
        <v>7322.0416943339778</v>
      </c>
      <c r="I20" s="165">
        <f t="shared" si="0"/>
        <v>7.5167556111362943E-2</v>
      </c>
      <c r="J20" s="144">
        <f t="shared" si="1"/>
        <v>7.3650714933093386E-3</v>
      </c>
      <c r="K20" s="166">
        <f t="shared" si="2"/>
        <v>6.730676547832215E-2</v>
      </c>
    </row>
    <row r="21" spans="1:51" x14ac:dyDescent="0.35">
      <c r="A21" s="137" t="s">
        <v>119</v>
      </c>
      <c r="B21" s="147" t="s">
        <v>120</v>
      </c>
      <c r="C21" s="154">
        <v>14997825690</v>
      </c>
      <c r="D21" s="141">
        <v>2074415.1666666667</v>
      </c>
      <c r="E21" s="155">
        <v>7229.9055324107012</v>
      </c>
      <c r="F21" s="154">
        <v>16081829041</v>
      </c>
      <c r="G21" s="141">
        <v>2104144.9166666665</v>
      </c>
      <c r="H21" s="155">
        <v>7642.9284473791986</v>
      </c>
      <c r="I21" s="165">
        <f t="shared" si="0"/>
        <v>7.2277366960117106E-2</v>
      </c>
      <c r="J21" s="144">
        <f t="shared" si="1"/>
        <v>1.4331629693862924E-2</v>
      </c>
      <c r="K21" s="166">
        <f t="shared" si="2"/>
        <v>5.7127014055297298E-2</v>
      </c>
    </row>
    <row r="22" spans="1:51" x14ac:dyDescent="0.35">
      <c r="A22" s="137" t="s">
        <v>121</v>
      </c>
      <c r="B22" s="147" t="s">
        <v>122</v>
      </c>
      <c r="C22" s="154">
        <v>12600090426</v>
      </c>
      <c r="D22" s="141">
        <v>1800092.3333333333</v>
      </c>
      <c r="E22" s="155">
        <v>6999.6911784339954</v>
      </c>
      <c r="F22" s="154">
        <v>13467724970</v>
      </c>
      <c r="G22" s="141">
        <v>1809469.1666666665</v>
      </c>
      <c r="H22" s="155">
        <v>7442.9148714424991</v>
      </c>
      <c r="I22" s="165">
        <f t="shared" si="0"/>
        <v>6.8859390263553699E-2</v>
      </c>
      <c r="J22" s="144">
        <f t="shared" si="1"/>
        <v>5.2090846451025019E-3</v>
      </c>
      <c r="K22" s="166">
        <f t="shared" si="2"/>
        <v>6.332046396190627E-2</v>
      </c>
    </row>
    <row r="23" spans="1:51" x14ac:dyDescent="0.35">
      <c r="A23" s="137" t="s">
        <v>123</v>
      </c>
      <c r="B23" s="147" t="s">
        <v>124</v>
      </c>
      <c r="C23" s="154">
        <v>12955320789</v>
      </c>
      <c r="D23" s="141">
        <v>1774985.5833333333</v>
      </c>
      <c r="E23" s="155">
        <v>7298.8315570825998</v>
      </c>
      <c r="F23" s="154">
        <v>13832712652</v>
      </c>
      <c r="G23" s="141">
        <v>1771248.9166666665</v>
      </c>
      <c r="H23" s="155">
        <v>7809.581432536279</v>
      </c>
      <c r="I23" s="165">
        <f t="shared" si="0"/>
        <v>6.7724441354240161E-2</v>
      </c>
      <c r="J23" s="144">
        <f t="shared" si="1"/>
        <v>-2.1051814176706873E-3</v>
      </c>
      <c r="K23" s="166">
        <f t="shared" si="2"/>
        <v>6.9976936919178501E-2</v>
      </c>
    </row>
    <row r="24" spans="1:51" x14ac:dyDescent="0.35">
      <c r="A24" s="137" t="s">
        <v>125</v>
      </c>
      <c r="B24" s="147" t="s">
        <v>126</v>
      </c>
      <c r="C24" s="154">
        <v>3084508764</v>
      </c>
      <c r="D24" s="141">
        <v>282097</v>
      </c>
      <c r="E24" s="155">
        <v>10934.21328124723</v>
      </c>
      <c r="F24" s="154">
        <v>3421557530</v>
      </c>
      <c r="G24" s="141">
        <v>286227.66666666669</v>
      </c>
      <c r="H24" s="155">
        <v>11953.972059537689</v>
      </c>
      <c r="I24" s="165">
        <f t="shared" si="0"/>
        <v>0.10927145674986316</v>
      </c>
      <c r="J24" s="144">
        <f t="shared" si="1"/>
        <v>1.4642717457706622E-2</v>
      </c>
      <c r="K24" s="166">
        <f t="shared" si="2"/>
        <v>9.3263113866582481E-2</v>
      </c>
    </row>
    <row r="25" spans="1:51" x14ac:dyDescent="0.35">
      <c r="A25" s="137" t="s">
        <v>127</v>
      </c>
      <c r="B25" s="147" t="s">
        <v>128</v>
      </c>
      <c r="C25" s="154">
        <v>7676198622</v>
      </c>
      <c r="D25" s="141">
        <v>1047515.3333333334</v>
      </c>
      <c r="E25" s="155">
        <v>7328.0059754097474</v>
      </c>
      <c r="F25" s="154">
        <v>8072874206</v>
      </c>
      <c r="G25" s="141">
        <v>1043892.0833333334</v>
      </c>
      <c r="H25" s="155">
        <v>7733.4375218383439</v>
      </c>
      <c r="I25" s="165">
        <f t="shared" si="0"/>
        <v>5.1676044815089472E-2</v>
      </c>
      <c r="J25" s="144">
        <f t="shared" si="1"/>
        <v>-3.4588992492075032E-3</v>
      </c>
      <c r="K25" s="166">
        <f t="shared" si="2"/>
        <v>5.5326312204040828E-2</v>
      </c>
    </row>
    <row r="26" spans="1:51" s="102" customFormat="1" x14ac:dyDescent="0.35">
      <c r="A26" s="138" t="s">
        <v>129</v>
      </c>
      <c r="B26" s="148" t="s">
        <v>130</v>
      </c>
      <c r="C26" s="156">
        <v>6813048386</v>
      </c>
      <c r="D26" s="142">
        <v>986937.16666666663</v>
      </c>
      <c r="E26" s="157">
        <v>6903.2240512440594</v>
      </c>
      <c r="F26" s="156">
        <v>7038361260</v>
      </c>
      <c r="G26" s="142">
        <v>981920.16666666674</v>
      </c>
      <c r="H26" s="157">
        <v>7167.9567228904052</v>
      </c>
      <c r="I26" s="167">
        <f t="shared" si="0"/>
        <v>3.3070787294420478E-2</v>
      </c>
      <c r="J26" s="145">
        <f t="shared" si="1"/>
        <v>-5.0834036547073858E-3</v>
      </c>
      <c r="K26" s="168">
        <f t="shared" si="2"/>
        <v>3.8349135082561547E-2</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row>
    <row r="27" spans="1:51" s="102" customFormat="1" x14ac:dyDescent="0.35">
      <c r="A27" s="138" t="s">
        <v>131</v>
      </c>
      <c r="B27" s="148" t="s">
        <v>132</v>
      </c>
      <c r="C27" s="156">
        <v>3438394520</v>
      </c>
      <c r="D27" s="142">
        <v>443459.66666666669</v>
      </c>
      <c r="E27" s="157">
        <v>7753.5676374927743</v>
      </c>
      <c r="F27" s="156">
        <v>3640029869</v>
      </c>
      <c r="G27" s="142">
        <v>446749.33333333331</v>
      </c>
      <c r="H27" s="157">
        <v>8147.8126488530488</v>
      </c>
      <c r="I27" s="167">
        <f t="shared" si="0"/>
        <v>5.8642295939908662E-2</v>
      </c>
      <c r="J27" s="145">
        <f t="shared" si="1"/>
        <v>7.4181868475071688E-3</v>
      </c>
      <c r="K27" s="168">
        <f t="shared" si="2"/>
        <v>5.0846917160286553E-2</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s="102" customFormat="1" x14ac:dyDescent="0.35">
      <c r="A28" s="138" t="s">
        <v>133</v>
      </c>
      <c r="B28" s="148" t="s">
        <v>134</v>
      </c>
      <c r="C28" s="156">
        <v>3134270083</v>
      </c>
      <c r="D28" s="142">
        <v>377721.33333333331</v>
      </c>
      <c r="E28" s="157">
        <v>8297.8370730097322</v>
      </c>
      <c r="F28" s="156">
        <v>3287122337</v>
      </c>
      <c r="G28" s="142">
        <v>379031.08333333331</v>
      </c>
      <c r="H28" s="157">
        <v>8672.4347462268379</v>
      </c>
      <c r="I28" s="167">
        <f t="shared" si="0"/>
        <v>4.8768054428065089E-2</v>
      </c>
      <c r="J28" s="145">
        <f t="shared" si="1"/>
        <v>3.4675033799167476E-3</v>
      </c>
      <c r="K28" s="168">
        <f t="shared" si="2"/>
        <v>4.5144014026927026E-2</v>
      </c>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s="102" customFormat="1" x14ac:dyDescent="0.35">
      <c r="A29" s="138" t="s">
        <v>135</v>
      </c>
      <c r="B29" s="148" t="s">
        <v>136</v>
      </c>
      <c r="C29" s="156">
        <v>2486300618</v>
      </c>
      <c r="D29" s="142">
        <v>335311.91666666669</v>
      </c>
      <c r="E29" s="157">
        <v>7414.8889270512555</v>
      </c>
      <c r="F29" s="156">
        <v>2617262621</v>
      </c>
      <c r="G29" s="142">
        <v>337242.08333333331</v>
      </c>
      <c r="H29" s="157">
        <v>7760.7829815624536</v>
      </c>
      <c r="I29" s="167">
        <f t="shared" si="0"/>
        <v>5.2673438622778734E-2</v>
      </c>
      <c r="J29" s="145">
        <f t="shared" si="1"/>
        <v>5.7563318532023455E-3</v>
      </c>
      <c r="K29" s="168">
        <f t="shared" si="2"/>
        <v>4.6648582050810683E-2</v>
      </c>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s="102" customFormat="1" x14ac:dyDescent="0.35">
      <c r="A30" s="138" t="s">
        <v>137</v>
      </c>
      <c r="B30" s="148" t="s">
        <v>138</v>
      </c>
      <c r="C30" s="156">
        <v>4336251424</v>
      </c>
      <c r="D30" s="142">
        <v>641022</v>
      </c>
      <c r="E30" s="157">
        <v>6764.5906443148597</v>
      </c>
      <c r="F30" s="156">
        <v>4475549986</v>
      </c>
      <c r="G30" s="142">
        <v>637181.33333333337</v>
      </c>
      <c r="H30" s="157">
        <v>7023.9816389264379</v>
      </c>
      <c r="I30" s="167">
        <f t="shared" si="0"/>
        <v>3.2124189392944258E-2</v>
      </c>
      <c r="J30" s="145">
        <f t="shared" si="1"/>
        <v>-5.991474031572408E-3</v>
      </c>
      <c r="K30" s="168">
        <f t="shared" si="2"/>
        <v>3.8345408946449222E-2</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row>
    <row r="31" spans="1:51" s="102" customFormat="1" x14ac:dyDescent="0.35">
      <c r="A31" s="138" t="s">
        <v>139</v>
      </c>
      <c r="B31" s="148" t="s">
        <v>140</v>
      </c>
      <c r="C31" s="156">
        <v>5723305076</v>
      </c>
      <c r="D31" s="142">
        <v>765121.91666666663</v>
      </c>
      <c r="E31" s="157">
        <v>7480.2524294875448</v>
      </c>
      <c r="F31" s="156">
        <v>6051493026</v>
      </c>
      <c r="G31" s="142">
        <v>768571.58333333337</v>
      </c>
      <c r="H31" s="157">
        <v>7873.6882253106114</v>
      </c>
      <c r="I31" s="167">
        <f t="shared" si="0"/>
        <v>5.7342382704045791E-2</v>
      </c>
      <c r="J31" s="145">
        <f t="shared" si="1"/>
        <v>4.5086496563784273E-3</v>
      </c>
      <c r="K31" s="168">
        <f t="shared" si="2"/>
        <v>5.2596593434751204E-2</v>
      </c>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row>
    <row r="32" spans="1:51" ht="16" thickBot="1" x14ac:dyDescent="0.4">
      <c r="A32" s="139" t="s">
        <v>197</v>
      </c>
      <c r="B32" s="149" t="s">
        <v>198</v>
      </c>
      <c r="C32" s="158">
        <v>873694281</v>
      </c>
      <c r="D32" s="159">
        <v>221272.91666666666</v>
      </c>
      <c r="E32" s="160">
        <v>3948.4917275988364</v>
      </c>
      <c r="F32" s="158">
        <v>906732325</v>
      </c>
      <c r="G32" s="159">
        <v>217642.16666666669</v>
      </c>
      <c r="H32" s="160">
        <v>4166.1610839811219</v>
      </c>
      <c r="I32" s="169">
        <f>(F32/C32)-1</f>
        <v>3.7814192811455483E-2</v>
      </c>
      <c r="J32" s="170">
        <f>(G32/D32)-1</f>
        <v>-1.6408469932492786E-2</v>
      </c>
      <c r="K32" s="171">
        <f>(H32/E32)-1</f>
        <v>5.5127216010315561E-2</v>
      </c>
    </row>
    <row r="33" spans="1:9" customFormat="1" x14ac:dyDescent="0.35">
      <c r="C33" s="15"/>
      <c r="D33" s="15"/>
      <c r="I33" s="82"/>
    </row>
    <row r="34" spans="1:9" customFormat="1" x14ac:dyDescent="0.35">
      <c r="A34" s="172" t="s">
        <v>267</v>
      </c>
      <c r="C34" s="15"/>
      <c r="D34" s="15"/>
      <c r="I34" s="82"/>
    </row>
    <row r="35" spans="1:9" customFormat="1" x14ac:dyDescent="0.35">
      <c r="A35" s="15" t="s">
        <v>265</v>
      </c>
      <c r="B35" s="15"/>
      <c r="C35" s="15"/>
      <c r="D35" s="15"/>
      <c r="E35" s="15"/>
      <c r="F35" s="15"/>
    </row>
    <row r="36" spans="1:9" customFormat="1" x14ac:dyDescent="0.35">
      <c r="A36" s="15" t="s">
        <v>266</v>
      </c>
      <c r="B36" s="15"/>
      <c r="C36" s="15"/>
      <c r="D36" s="126"/>
      <c r="E36" s="15"/>
      <c r="F36" s="15"/>
    </row>
    <row r="37" spans="1:9" customFormat="1" x14ac:dyDescent="0.35">
      <c r="A37" s="15"/>
      <c r="B37" s="15"/>
      <c r="C37" s="15"/>
      <c r="D37" s="126"/>
      <c r="E37" s="15"/>
      <c r="F37" s="15"/>
    </row>
    <row r="38" spans="1:9" customFormat="1" x14ac:dyDescent="0.35">
      <c r="B38" s="15"/>
      <c r="C38" s="15"/>
      <c r="D38" s="29"/>
      <c r="E38" s="15"/>
      <c r="F38" s="15"/>
    </row>
    <row r="39" spans="1:9" customFormat="1" x14ac:dyDescent="0.35">
      <c r="A39" s="15"/>
      <c r="B39" s="15"/>
      <c r="C39" s="15"/>
      <c r="D39" s="126"/>
      <c r="E39" s="15"/>
      <c r="F39" s="15"/>
    </row>
    <row r="40" spans="1:9" customFormat="1" x14ac:dyDescent="0.35">
      <c r="A40" s="15"/>
      <c r="B40" s="15"/>
      <c r="C40" s="15"/>
      <c r="D40" s="126"/>
      <c r="E40" s="15"/>
      <c r="F40" s="15"/>
    </row>
    <row r="41" spans="1:9" customFormat="1" x14ac:dyDescent="0.35">
      <c r="A41" s="15"/>
      <c r="B41" s="15"/>
      <c r="C41" s="15"/>
      <c r="D41" s="126"/>
      <c r="E41" s="15"/>
      <c r="F41" s="15"/>
    </row>
    <row r="42" spans="1:9" customFormat="1" x14ac:dyDescent="0.35">
      <c r="A42" s="15"/>
      <c r="B42" s="15"/>
      <c r="C42" s="15"/>
      <c r="D42" s="126"/>
      <c r="E42" s="15"/>
      <c r="F42" s="15"/>
    </row>
    <row r="43" spans="1:9" customFormat="1" x14ac:dyDescent="0.35">
      <c r="A43" s="15"/>
      <c r="B43" s="15"/>
      <c r="C43" s="15"/>
      <c r="D43" s="126"/>
      <c r="E43" s="15"/>
      <c r="F43" s="15"/>
    </row>
    <row r="44" spans="1:9" customFormat="1" x14ac:dyDescent="0.35">
      <c r="A44" s="15"/>
      <c r="B44" s="15"/>
      <c r="C44" s="15"/>
      <c r="D44" s="126"/>
      <c r="E44" s="15"/>
      <c r="F44" s="15"/>
    </row>
    <row r="45" spans="1:9" customFormat="1" x14ac:dyDescent="0.35">
      <c r="A45" s="15"/>
      <c r="B45" s="15"/>
      <c r="C45" s="15"/>
      <c r="D45" s="126"/>
      <c r="E45" s="15"/>
      <c r="F45" s="15"/>
    </row>
    <row r="46" spans="1:9" customFormat="1" x14ac:dyDescent="0.35">
      <c r="A46" s="15"/>
      <c r="B46" s="15"/>
      <c r="C46" s="15"/>
      <c r="D46" s="126"/>
      <c r="E46" s="15"/>
      <c r="F46" s="15"/>
    </row>
    <row r="47" spans="1:9" customFormat="1" x14ac:dyDescent="0.35">
      <c r="A47" s="15"/>
      <c r="B47" s="15"/>
      <c r="C47" s="15"/>
      <c r="D47" s="126"/>
      <c r="E47" s="15"/>
      <c r="F47" s="15"/>
    </row>
    <row r="48" spans="1:9" customFormat="1" x14ac:dyDescent="0.35">
      <c r="A48" s="15"/>
      <c r="B48" s="15"/>
      <c r="C48" s="15"/>
      <c r="D48" s="126"/>
      <c r="E48" s="15"/>
      <c r="F48" s="15"/>
    </row>
    <row r="49" spans="1:6" customFormat="1" x14ac:dyDescent="0.35">
      <c r="A49" s="15"/>
      <c r="B49" s="15"/>
      <c r="C49" s="15"/>
      <c r="D49" s="126"/>
      <c r="E49" s="15"/>
      <c r="F49" s="15"/>
    </row>
    <row r="50" spans="1:6" customFormat="1" x14ac:dyDescent="0.35">
      <c r="A50" s="15"/>
      <c r="B50" s="15"/>
      <c r="C50" s="15"/>
      <c r="D50" s="126"/>
      <c r="E50" s="15"/>
      <c r="F50" s="15"/>
    </row>
    <row r="51" spans="1:6" customFormat="1" x14ac:dyDescent="0.35">
      <c r="B51" s="15"/>
      <c r="C51" s="15"/>
      <c r="D51" s="126"/>
      <c r="E51" s="15"/>
    </row>
    <row r="52" spans="1:6" customFormat="1" x14ac:dyDescent="0.35">
      <c r="B52" s="15"/>
      <c r="C52" s="15"/>
      <c r="D52" s="126"/>
      <c r="E52" s="15"/>
    </row>
    <row r="53" spans="1:6" customFormat="1" x14ac:dyDescent="0.35">
      <c r="B53" s="15"/>
      <c r="C53" s="15"/>
      <c r="D53" s="126"/>
      <c r="E53" s="15"/>
    </row>
    <row r="54" spans="1:6" customFormat="1" x14ac:dyDescent="0.35">
      <c r="B54" s="15"/>
      <c r="C54" s="15"/>
      <c r="D54" s="126"/>
      <c r="E54" s="15"/>
    </row>
    <row r="55" spans="1:6" customFormat="1" x14ac:dyDescent="0.35">
      <c r="B55" s="15"/>
      <c r="C55" s="15"/>
      <c r="D55" s="126"/>
      <c r="E55" s="15"/>
    </row>
    <row r="56" spans="1:6" customFormat="1" x14ac:dyDescent="0.35">
      <c r="B56" s="15"/>
      <c r="C56" s="15"/>
      <c r="D56" s="126"/>
      <c r="E56" s="15"/>
    </row>
    <row r="57" spans="1:6" customFormat="1" x14ac:dyDescent="0.35">
      <c r="B57" s="15"/>
      <c r="C57" s="15"/>
      <c r="D57" s="126"/>
      <c r="E57" s="15"/>
    </row>
    <row r="58" spans="1:6" customFormat="1" x14ac:dyDescent="0.35">
      <c r="B58" s="15"/>
      <c r="C58" s="15"/>
      <c r="D58" s="126"/>
      <c r="E58" s="15"/>
    </row>
    <row r="59" spans="1:6" customFormat="1" x14ac:dyDescent="0.35">
      <c r="B59" s="15"/>
      <c r="C59" s="15"/>
      <c r="D59" s="126"/>
      <c r="E59" s="15"/>
    </row>
    <row r="60" spans="1:6" customFormat="1" x14ac:dyDescent="0.35">
      <c r="B60" s="15"/>
      <c r="C60" s="15"/>
      <c r="D60" s="126"/>
      <c r="E60" s="15"/>
    </row>
    <row r="61" spans="1:6" customFormat="1" x14ac:dyDescent="0.35">
      <c r="B61" s="15"/>
      <c r="C61" s="15"/>
      <c r="D61" s="126"/>
      <c r="E61" s="15"/>
    </row>
    <row r="62" spans="1:6" customFormat="1" x14ac:dyDescent="0.35">
      <c r="B62" s="15"/>
      <c r="C62" s="15"/>
      <c r="D62" s="126"/>
      <c r="E62" s="15"/>
    </row>
    <row r="63" spans="1:6" customFormat="1" x14ac:dyDescent="0.35">
      <c r="B63" s="15"/>
      <c r="C63" s="15"/>
      <c r="D63" s="126"/>
      <c r="E63" s="15"/>
    </row>
    <row r="64" spans="1:6" customFormat="1" x14ac:dyDescent="0.35">
      <c r="B64" s="15"/>
      <c r="C64" s="15"/>
      <c r="D64" s="126"/>
      <c r="E64" s="15"/>
    </row>
    <row r="65" spans="2:5" customFormat="1" x14ac:dyDescent="0.35">
      <c r="B65" s="15"/>
      <c r="C65" s="15"/>
      <c r="D65" s="126"/>
      <c r="E65" s="15"/>
    </row>
    <row r="66" spans="2:5" customFormat="1" x14ac:dyDescent="0.35">
      <c r="B66" s="15"/>
      <c r="C66" s="15"/>
      <c r="D66" s="126"/>
      <c r="E66" s="15"/>
    </row>
    <row r="67" spans="2:5" customFormat="1" x14ac:dyDescent="0.35">
      <c r="B67" s="15"/>
      <c r="C67" s="15"/>
      <c r="D67" s="126"/>
      <c r="E67" s="15"/>
    </row>
    <row r="68" spans="2:5" customFormat="1" x14ac:dyDescent="0.35">
      <c r="B68" s="15"/>
      <c r="C68" s="15"/>
      <c r="D68" s="126"/>
      <c r="E68" s="15"/>
    </row>
    <row r="69" spans="2:5" customFormat="1" x14ac:dyDescent="0.35">
      <c r="B69" s="15"/>
      <c r="C69" s="15"/>
      <c r="D69" s="126"/>
      <c r="E69" s="15"/>
    </row>
    <row r="70" spans="2:5" customFormat="1" x14ac:dyDescent="0.35">
      <c r="B70" s="15"/>
      <c r="C70" s="15"/>
      <c r="D70" s="126"/>
      <c r="E70" s="15"/>
    </row>
    <row r="71" spans="2:5" customFormat="1" x14ac:dyDescent="0.35">
      <c r="B71" s="15"/>
      <c r="C71" s="15"/>
      <c r="D71" s="126"/>
      <c r="E71" s="15"/>
    </row>
    <row r="72" spans="2:5" customFormat="1" x14ac:dyDescent="0.35">
      <c r="B72" s="15"/>
      <c r="C72" s="15"/>
      <c r="D72" s="126"/>
      <c r="E72" s="15"/>
    </row>
    <row r="73" spans="2:5" customFormat="1" x14ac:dyDescent="0.35">
      <c r="B73" s="15"/>
      <c r="C73" s="15"/>
      <c r="D73" s="126"/>
      <c r="E73" s="15"/>
    </row>
    <row r="74" spans="2:5" customFormat="1" x14ac:dyDescent="0.35">
      <c r="B74" s="15"/>
      <c r="C74" s="15"/>
      <c r="D74" s="126"/>
      <c r="E74" s="15"/>
    </row>
    <row r="75" spans="2:5" customFormat="1" x14ac:dyDescent="0.35">
      <c r="B75" s="15"/>
      <c r="C75" s="15"/>
      <c r="D75" s="126"/>
      <c r="E75" s="15"/>
    </row>
    <row r="76" spans="2:5" customFormat="1" x14ac:dyDescent="0.35">
      <c r="B76" s="15"/>
      <c r="C76" s="15"/>
      <c r="D76" s="126"/>
      <c r="E76" s="15"/>
    </row>
    <row r="77" spans="2:5" customFormat="1" x14ac:dyDescent="0.35">
      <c r="D77" s="126"/>
    </row>
    <row r="78" spans="2:5" customFormat="1" x14ac:dyDescent="0.35">
      <c r="D78" s="126"/>
    </row>
    <row r="79" spans="2:5" customFormat="1" x14ac:dyDescent="0.35">
      <c r="D79" s="126"/>
    </row>
    <row r="80" spans="2:5" customFormat="1" x14ac:dyDescent="0.35">
      <c r="D80" s="126"/>
    </row>
    <row r="81" spans="4:4" customFormat="1" x14ac:dyDescent="0.35">
      <c r="D81" s="126"/>
    </row>
    <row r="82" spans="4:4" customFormat="1" x14ac:dyDescent="0.35">
      <c r="D82" s="126"/>
    </row>
    <row r="83" spans="4:4" customFormat="1" x14ac:dyDescent="0.35">
      <c r="D83" s="126"/>
    </row>
    <row r="84" spans="4:4" customFormat="1" x14ac:dyDescent="0.35">
      <c r="D84" s="126"/>
    </row>
    <row r="85" spans="4:4" customFormat="1" x14ac:dyDescent="0.35">
      <c r="D85" s="126"/>
    </row>
    <row r="86" spans="4:4" customFormat="1" x14ac:dyDescent="0.35">
      <c r="D86" s="126"/>
    </row>
    <row r="87" spans="4:4" customFormat="1" x14ac:dyDescent="0.35">
      <c r="D87" s="126"/>
    </row>
    <row r="88" spans="4:4" customFormat="1" x14ac:dyDescent="0.35">
      <c r="D88" s="126"/>
    </row>
    <row r="89" spans="4:4" customFormat="1" x14ac:dyDescent="0.35">
      <c r="D89" s="126"/>
    </row>
    <row r="90" spans="4:4" customFormat="1" x14ac:dyDescent="0.35">
      <c r="D90" s="126"/>
    </row>
    <row r="91" spans="4:4" customFormat="1" x14ac:dyDescent="0.35">
      <c r="D91" s="126"/>
    </row>
    <row r="92" spans="4:4" customFormat="1" x14ac:dyDescent="0.35">
      <c r="D92" s="126"/>
    </row>
    <row r="93" spans="4:4" customFormat="1" x14ac:dyDescent="0.35">
      <c r="D93" s="126"/>
    </row>
    <row r="94" spans="4:4" customFormat="1" x14ac:dyDescent="0.35">
      <c r="D94" s="126"/>
    </row>
    <row r="95" spans="4:4" customFormat="1" x14ac:dyDescent="0.35">
      <c r="D95" s="126"/>
    </row>
    <row r="96" spans="4:4" customFormat="1" x14ac:dyDescent="0.35">
      <c r="D96" s="126"/>
    </row>
    <row r="97" spans="4:4" customFormat="1" x14ac:dyDescent="0.35">
      <c r="D97" s="126"/>
    </row>
    <row r="98" spans="4:4" customFormat="1" x14ac:dyDescent="0.35">
      <c r="D98" s="126"/>
    </row>
    <row r="99" spans="4:4" customFormat="1" x14ac:dyDescent="0.35">
      <c r="D99" s="126"/>
    </row>
    <row r="100" spans="4:4" customFormat="1" x14ac:dyDescent="0.35">
      <c r="D100" s="126"/>
    </row>
    <row r="101" spans="4:4" customFormat="1" x14ac:dyDescent="0.35">
      <c r="D101" s="126"/>
    </row>
    <row r="102" spans="4:4" customFormat="1" x14ac:dyDescent="0.35">
      <c r="D102" s="126"/>
    </row>
    <row r="103" spans="4:4" customFormat="1" ht="14" x14ac:dyDescent="0.3"/>
    <row r="104" spans="4:4" customFormat="1" ht="14" x14ac:dyDescent="0.3"/>
    <row r="105" spans="4:4" customFormat="1" ht="14" x14ac:dyDescent="0.3"/>
    <row r="106" spans="4:4" customFormat="1" ht="14" x14ac:dyDescent="0.3"/>
    <row r="107" spans="4:4" customFormat="1" ht="14" x14ac:dyDescent="0.3"/>
    <row r="108" spans="4:4" customFormat="1" ht="14" x14ac:dyDescent="0.3"/>
    <row r="109" spans="4:4" customFormat="1" ht="14" x14ac:dyDescent="0.3"/>
    <row r="110" spans="4:4" customFormat="1" ht="14" x14ac:dyDescent="0.3"/>
    <row r="111" spans="4:4" customFormat="1" ht="14" x14ac:dyDescent="0.3"/>
    <row r="112" spans="4:4" customFormat="1" ht="14" x14ac:dyDescent="0.3"/>
    <row r="113" customFormat="1" ht="14" x14ac:dyDescent="0.3"/>
  </sheetData>
  <sheetProtection algorithmName="SHA-512" hashValue="CHt7s+wGLsFle+rXBIwm3WgO9O2Zkkakl6wWCPwe5lJfSUjDlGmzftIsxMA3seDP53N0YK4CFiIWtBMOaK2C4A==" saltValue="DA9zS89dP9l/L7deSvZ8jQ==" spinCount="100000" sheet="1" objects="1" scenarios="1"/>
  <mergeCells count="5">
    <mergeCell ref="A5:A6"/>
    <mergeCell ref="B5:B6"/>
    <mergeCell ref="C5:E5"/>
    <mergeCell ref="F5:H5"/>
    <mergeCell ref="I5:K5"/>
  </mergeCells>
  <pageMargins left="0.7" right="0.7" top="0.75" bottom="0.75" header="0.3" footer="0.3"/>
  <pageSetup scale="52" orientation="landscape" horizontalDpi="90" verticalDpi="90" r:id="rId1"/>
  <rowBreaks count="1" manualBreakCount="1">
    <brk id="6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381D-B93F-418C-A1CE-EC6E0FF2CE7D}">
  <sheetPr>
    <tabColor rgb="FF004891"/>
  </sheetPr>
  <dimension ref="A1:P88"/>
  <sheetViews>
    <sheetView showGridLines="0" zoomScale="80" zoomScaleNormal="80" workbookViewId="0"/>
  </sheetViews>
  <sheetFormatPr defaultRowHeight="14" x14ac:dyDescent="0.3"/>
  <cols>
    <col min="1" max="1" width="34.08203125" customWidth="1"/>
    <col min="2" max="2" width="18.08203125" customWidth="1"/>
    <col min="3" max="3" width="19" customWidth="1"/>
    <col min="4" max="4" width="6.4140625" customWidth="1"/>
    <col min="5" max="5" width="30.5" customWidth="1"/>
    <col min="6" max="6" width="26.08203125" customWidth="1"/>
    <col min="7" max="7" width="22.33203125" customWidth="1"/>
    <col min="8" max="8" width="5.1640625" customWidth="1"/>
    <col min="9" max="9" width="38.9140625" customWidth="1"/>
    <col min="10" max="10" width="27.6640625" customWidth="1"/>
    <col min="11" max="15" width="13.58203125" customWidth="1"/>
    <col min="16" max="16" width="14.08203125" customWidth="1"/>
    <col min="18" max="18" width="33.6640625" bestFit="1" customWidth="1"/>
    <col min="19" max="20" width="11.58203125" bestFit="1" customWidth="1"/>
    <col min="21" max="21" width="13.33203125" bestFit="1" customWidth="1"/>
    <col min="22" max="23" width="12.33203125" bestFit="1" customWidth="1"/>
    <col min="24" max="24" width="12.83203125" bestFit="1" customWidth="1"/>
    <col min="25" max="37" width="8"/>
  </cols>
  <sheetData>
    <row r="1" spans="1:16" s="40" customFormat="1" ht="20" x14ac:dyDescent="0.4">
      <c r="A1" s="40" t="s">
        <v>0</v>
      </c>
      <c r="B1"/>
      <c r="C1"/>
      <c r="D1"/>
      <c r="H1"/>
      <c r="I1"/>
      <c r="J1"/>
      <c r="K1"/>
      <c r="L1"/>
      <c r="M1"/>
      <c r="N1"/>
      <c r="O1"/>
      <c r="P1"/>
    </row>
    <row r="2" spans="1:16" s="41" customFormat="1" ht="15.5" x14ac:dyDescent="0.3">
      <c r="A2" s="41" t="s">
        <v>222</v>
      </c>
      <c r="B2"/>
      <c r="C2"/>
      <c r="D2"/>
      <c r="H2"/>
      <c r="I2"/>
      <c r="J2"/>
      <c r="K2"/>
      <c r="L2"/>
      <c r="M2"/>
      <c r="N2"/>
      <c r="O2"/>
      <c r="P2"/>
    </row>
    <row r="3" spans="1:16" s="15" customFormat="1" ht="15.5" x14ac:dyDescent="0.35">
      <c r="B3"/>
      <c r="D3"/>
      <c r="H3"/>
      <c r="I3"/>
      <c r="J3"/>
      <c r="K3"/>
      <c r="L3"/>
      <c r="M3"/>
      <c r="N3"/>
      <c r="O3"/>
      <c r="P3"/>
    </row>
    <row r="4" spans="1:16" s="15" customFormat="1" ht="15.5" x14ac:dyDescent="0.35">
      <c r="A4" s="41" t="s">
        <v>31</v>
      </c>
      <c r="D4"/>
      <c r="E4" s="41" t="s">
        <v>171</v>
      </c>
      <c r="F4" s="41"/>
      <c r="G4" s="41"/>
      <c r="H4"/>
      <c r="I4" s="41" t="s">
        <v>34</v>
      </c>
      <c r="J4" s="41"/>
      <c r="K4"/>
      <c r="L4"/>
      <c r="M4"/>
      <c r="N4"/>
      <c r="O4"/>
      <c r="P4"/>
    </row>
    <row r="5" spans="1:16" s="15" customFormat="1" ht="46.5" x14ac:dyDescent="0.35">
      <c r="A5" s="127" t="s">
        <v>260</v>
      </c>
      <c r="B5" s="128" t="s">
        <v>258</v>
      </c>
      <c r="C5" s="129" t="s">
        <v>259</v>
      </c>
      <c r="D5"/>
      <c r="E5" s="130" t="s">
        <v>260</v>
      </c>
      <c r="F5" s="131" t="s">
        <v>258</v>
      </c>
      <c r="G5" s="132" t="s">
        <v>259</v>
      </c>
      <c r="H5"/>
      <c r="I5" s="133" t="s">
        <v>260</v>
      </c>
      <c r="J5" s="134" t="s">
        <v>258</v>
      </c>
      <c r="K5"/>
      <c r="L5" s="41"/>
      <c r="M5"/>
      <c r="N5"/>
      <c r="O5"/>
      <c r="P5"/>
    </row>
    <row r="6" spans="1:16" s="15" customFormat="1" ht="15.5" x14ac:dyDescent="0.35">
      <c r="A6" s="94" t="s">
        <v>174</v>
      </c>
      <c r="B6" s="81">
        <v>5.1040466968319098E-2</v>
      </c>
      <c r="C6" s="95">
        <v>5.1330392700978278E-2</v>
      </c>
      <c r="D6"/>
      <c r="E6" s="94" t="s">
        <v>174</v>
      </c>
      <c r="F6" s="96">
        <v>5.0135499855480159E-2</v>
      </c>
      <c r="G6" s="95">
        <v>5.5639767810583329E-2</v>
      </c>
      <c r="H6"/>
      <c r="I6" s="94" t="s">
        <v>174</v>
      </c>
      <c r="J6" s="95">
        <v>4.1377718619259207E-2</v>
      </c>
      <c r="K6"/>
    </row>
    <row r="7" spans="1:16" s="15" customFormat="1" ht="15.5" x14ac:dyDescent="0.35">
      <c r="A7" s="16" t="s">
        <v>227</v>
      </c>
      <c r="B7" s="81">
        <v>5.481725657291836E-2</v>
      </c>
      <c r="C7" s="95">
        <v>5.4702943421658157E-2</v>
      </c>
      <c r="D7"/>
      <c r="E7" s="16" t="s">
        <v>142</v>
      </c>
      <c r="F7" s="96">
        <v>7.3586491542781074E-2</v>
      </c>
      <c r="G7" s="95">
        <v>7.117861757758992E-2</v>
      </c>
      <c r="H7"/>
      <c r="I7" s="16" t="s">
        <v>141</v>
      </c>
      <c r="J7" s="95">
        <v>0.20977395710552571</v>
      </c>
      <c r="K7"/>
    </row>
    <row r="8" spans="1:16" s="15" customFormat="1" ht="15.5" x14ac:dyDescent="0.35">
      <c r="A8" s="16" t="s">
        <v>200</v>
      </c>
      <c r="B8" s="81">
        <v>5.1934639786375358E-2</v>
      </c>
      <c r="C8" s="95">
        <v>5.5278250505099269E-2</v>
      </c>
      <c r="D8"/>
      <c r="E8" s="16" t="s">
        <v>227</v>
      </c>
      <c r="F8" s="96">
        <v>6.8931856478249731E-2</v>
      </c>
      <c r="G8" s="95">
        <v>6.9903108662302982E-2</v>
      </c>
      <c r="H8"/>
      <c r="I8" s="16" t="s">
        <v>227</v>
      </c>
      <c r="J8" s="95">
        <v>0.14132590223340813</v>
      </c>
      <c r="K8"/>
    </row>
    <row r="9" spans="1:16" s="15" customFormat="1" ht="15.5" x14ac:dyDescent="0.35">
      <c r="A9" s="16" t="s">
        <v>175</v>
      </c>
      <c r="B9" s="81">
        <v>3.9173042734336416E-2</v>
      </c>
      <c r="C9" s="95">
        <v>3.9564406748740177E-2</v>
      </c>
      <c r="D9"/>
      <c r="E9" s="16" t="s">
        <v>200</v>
      </c>
      <c r="F9" s="96">
        <v>2.3462499635113154E-2</v>
      </c>
      <c r="G9" s="95">
        <v>2.2919624440386643E-2</v>
      </c>
      <c r="H9"/>
      <c r="I9" s="16" t="s">
        <v>200</v>
      </c>
      <c r="J9" s="95">
        <v>-7.212174529444193E-2</v>
      </c>
      <c r="K9"/>
    </row>
    <row r="10" spans="1:16" s="15" customFormat="1" ht="15.5" x14ac:dyDescent="0.35">
      <c r="A10" s="16" t="s">
        <v>145</v>
      </c>
      <c r="B10" s="81">
        <v>4.3714590800195907E-2</v>
      </c>
      <c r="C10" s="95">
        <v>4.1915413293734938E-2</v>
      </c>
      <c r="D10"/>
      <c r="E10" s="16" t="s">
        <v>175</v>
      </c>
      <c r="F10" s="96">
        <v>3.6363920838787367E-2</v>
      </c>
      <c r="G10" s="95">
        <v>3.271774075436662E-2</v>
      </c>
      <c r="H10"/>
      <c r="I10" s="16" t="s">
        <v>143</v>
      </c>
      <c r="J10" s="95">
        <v>1.8164516300755107E-2</v>
      </c>
      <c r="K10"/>
    </row>
    <row r="11" spans="1:16" s="15" customFormat="1" ht="15.5" x14ac:dyDescent="0.35">
      <c r="A11" s="16" t="s">
        <v>150</v>
      </c>
      <c r="B11" s="81">
        <v>4.3479657467202726E-2</v>
      </c>
      <c r="C11" s="95">
        <v>4.1627071134000992E-2</v>
      </c>
      <c r="D11"/>
      <c r="E11" s="16" t="s">
        <v>201</v>
      </c>
      <c r="F11" s="96">
        <v>-5.694918652694092E-2</v>
      </c>
      <c r="G11" s="95">
        <v>-3.7386972730398149E-2</v>
      </c>
      <c r="H11"/>
      <c r="I11" s="16" t="s">
        <v>203</v>
      </c>
      <c r="J11" s="95">
        <v>-7.7680781728346471E-3</v>
      </c>
      <c r="K11"/>
    </row>
    <row r="12" spans="1:16" s="15" customFormat="1" ht="15.5" x14ac:dyDescent="0.35">
      <c r="A12" s="16" t="s">
        <v>206</v>
      </c>
      <c r="B12" s="81">
        <v>-1.5233387170752177E-3</v>
      </c>
      <c r="C12" s="95">
        <v>2.3730990388037831E-4</v>
      </c>
      <c r="D12"/>
      <c r="E12" s="16" t="s">
        <v>150</v>
      </c>
      <c r="F12" s="96">
        <v>2.9957295582341503E-2</v>
      </c>
      <c r="G12" s="95">
        <v>2.9548634851541911E-2</v>
      </c>
      <c r="H12"/>
      <c r="I12" s="16" t="s">
        <v>144</v>
      </c>
      <c r="J12" s="95">
        <v>7.7362189393652692E-2</v>
      </c>
      <c r="K12"/>
    </row>
    <row r="13" spans="1:16" s="15" customFormat="1" ht="15.5" x14ac:dyDescent="0.35">
      <c r="A13" s="16" t="s">
        <v>151</v>
      </c>
      <c r="B13" s="81">
        <v>0.19792638190833056</v>
      </c>
      <c r="C13" s="95">
        <v>0.19636126141126886</v>
      </c>
      <c r="D13"/>
      <c r="E13" s="16" t="s">
        <v>151</v>
      </c>
      <c r="F13" s="96">
        <v>0.10829171997408826</v>
      </c>
      <c r="G13" s="95">
        <v>0.140922179255492</v>
      </c>
      <c r="H13"/>
      <c r="I13" s="16" t="s">
        <v>175</v>
      </c>
      <c r="J13" s="95">
        <v>-1.8869696788100243E-2</v>
      </c>
      <c r="K13"/>
    </row>
    <row r="14" spans="1:16" s="15" customFormat="1" ht="15.5" x14ac:dyDescent="0.35">
      <c r="A14" s="16" t="s">
        <v>154</v>
      </c>
      <c r="B14" s="81">
        <v>4.0635616512093353E-2</v>
      </c>
      <c r="C14" s="95">
        <v>4.002376812608599E-2</v>
      </c>
      <c r="D14"/>
      <c r="E14" s="16" t="s">
        <v>153</v>
      </c>
      <c r="F14" s="96">
        <v>9.0352389958610724E-2</v>
      </c>
      <c r="G14" s="95">
        <v>8.3082608472258679E-2</v>
      </c>
      <c r="H14"/>
      <c r="I14" s="16" t="s">
        <v>204</v>
      </c>
      <c r="J14" s="95">
        <v>7.9112590899828028E-3</v>
      </c>
      <c r="K14"/>
    </row>
    <row r="15" spans="1:16" s="15" customFormat="1" ht="15.5" x14ac:dyDescent="0.35">
      <c r="A15" s="16" t="s">
        <v>155</v>
      </c>
      <c r="B15" s="81">
        <v>7.3339718070492887E-2</v>
      </c>
      <c r="C15" s="95">
        <v>7.2431492297310385E-2</v>
      </c>
      <c r="D15"/>
      <c r="E15" s="16" t="s">
        <v>154</v>
      </c>
      <c r="F15" s="96">
        <v>0.11071171446622752</v>
      </c>
      <c r="G15" s="95">
        <v>9.5403008570139836E-2</v>
      </c>
      <c r="H15"/>
      <c r="I15" s="16" t="s">
        <v>146</v>
      </c>
      <c r="J15" s="95">
        <v>-2.2590859059475998E-2</v>
      </c>
      <c r="K15"/>
    </row>
    <row r="16" spans="1:16" s="15" customFormat="1" ht="15.5" x14ac:dyDescent="0.35">
      <c r="A16" s="16" t="s">
        <v>176</v>
      </c>
      <c r="B16" s="81">
        <v>6.4805207386574137E-2</v>
      </c>
      <c r="C16" s="95">
        <v>6.3300495677936608E-2</v>
      </c>
      <c r="D16"/>
      <c r="E16" s="16" t="s">
        <v>176</v>
      </c>
      <c r="F16" s="96">
        <v>5.6446959051602574E-2</v>
      </c>
      <c r="G16" s="95">
        <v>5.657282506505501E-2</v>
      </c>
      <c r="H16"/>
      <c r="I16" s="16" t="s">
        <v>147</v>
      </c>
      <c r="J16" s="95">
        <v>0.15329275182447732</v>
      </c>
      <c r="K16"/>
    </row>
    <row r="17" spans="1:14" s="15" customFormat="1" ht="15.5" x14ac:dyDescent="0.35">
      <c r="A17" s="16" t="s">
        <v>156</v>
      </c>
      <c r="B17" s="81">
        <v>0.1342048235858182</v>
      </c>
      <c r="C17" s="95">
        <v>0.13559257507940914</v>
      </c>
      <c r="D17"/>
      <c r="E17" s="16" t="s">
        <v>202</v>
      </c>
      <c r="F17" s="96">
        <v>-0.12160997691849851</v>
      </c>
      <c r="G17" s="95">
        <v>-6.7774721117934811E-2</v>
      </c>
      <c r="H17"/>
      <c r="I17" s="16" t="s">
        <v>205</v>
      </c>
      <c r="J17" s="95">
        <v>0.12657472745294207</v>
      </c>
      <c r="K17"/>
    </row>
    <row r="18" spans="1:14" s="15" customFormat="1" ht="15.5" x14ac:dyDescent="0.35">
      <c r="A18" s="16" t="s">
        <v>261</v>
      </c>
      <c r="B18" s="81">
        <v>5.4773505799667221E-2</v>
      </c>
      <c r="C18" s="95">
        <v>5.4690265658712489E-2</v>
      </c>
      <c r="D18"/>
      <c r="E18" s="16" t="s">
        <v>261</v>
      </c>
      <c r="F18" s="96">
        <v>-4.3792229278141415E-2</v>
      </c>
      <c r="G18" s="95">
        <v>-4.1032966351523537E-2</v>
      </c>
      <c r="H18"/>
      <c r="I18" s="16" t="s">
        <v>148</v>
      </c>
      <c r="J18" s="95">
        <v>0.10349205702589748</v>
      </c>
      <c r="K18"/>
    </row>
    <row r="19" spans="1:14" s="15" customFormat="1" ht="15.5" x14ac:dyDescent="0.35">
      <c r="A19" s="54" t="s">
        <v>40</v>
      </c>
      <c r="B19" s="81">
        <v>5.01539617263842E-2</v>
      </c>
      <c r="C19" s="97"/>
      <c r="D19"/>
      <c r="E19" s="54" t="s">
        <v>40</v>
      </c>
      <c r="F19" s="96">
        <v>3.566954365902375E-2</v>
      </c>
      <c r="G19" s="97"/>
      <c r="H19"/>
      <c r="I19" s="16" t="s">
        <v>149</v>
      </c>
      <c r="J19" s="95">
        <v>0.16343179471785363</v>
      </c>
      <c r="K19"/>
    </row>
    <row r="20" spans="1:14" s="15" customFormat="1" ht="15.5" x14ac:dyDescent="0.35">
      <c r="D20"/>
      <c r="F20"/>
      <c r="H20"/>
      <c r="I20" s="16" t="s">
        <v>263</v>
      </c>
      <c r="J20" s="95">
        <v>4.5601684554617439E-2</v>
      </c>
      <c r="K20"/>
    </row>
    <row r="21" spans="1:14" s="15" customFormat="1" ht="15.5" x14ac:dyDescent="0.35">
      <c r="A21"/>
      <c r="B21"/>
      <c r="C21"/>
      <c r="D21"/>
      <c r="E21"/>
      <c r="F21" s="194" t="s">
        <v>286</v>
      </c>
      <c r="G21"/>
      <c r="H21"/>
      <c r="I21" s="16" t="s">
        <v>150</v>
      </c>
      <c r="J21" s="95">
        <v>-0.10336285898530051</v>
      </c>
      <c r="K21"/>
      <c r="L21"/>
      <c r="M21"/>
      <c r="N21"/>
    </row>
    <row r="22" spans="1:14" s="15" customFormat="1" ht="15.5" x14ac:dyDescent="0.35">
      <c r="A22"/>
      <c r="B22" s="194" t="s">
        <v>286</v>
      </c>
      <c r="C22"/>
      <c r="D22"/>
      <c r="E22"/>
      <c r="F22"/>
      <c r="G22"/>
      <c r="H22"/>
      <c r="I22" s="16" t="s">
        <v>264</v>
      </c>
      <c r="J22" s="95">
        <v>0.19091047628633095</v>
      </c>
      <c r="K22"/>
      <c r="L22"/>
      <c r="M22"/>
      <c r="N22"/>
    </row>
    <row r="23" spans="1:14" s="15" customFormat="1" ht="15.5" x14ac:dyDescent="0.35">
      <c r="A23"/>
      <c r="B23"/>
      <c r="C23"/>
      <c r="D23"/>
      <c r="E23"/>
      <c r="F23"/>
      <c r="G23"/>
      <c r="H23"/>
      <c r="I23" s="16" t="s">
        <v>206</v>
      </c>
      <c r="J23" s="95">
        <v>8.0678076606907512E-2</v>
      </c>
      <c r="K23"/>
      <c r="L23"/>
      <c r="M23"/>
      <c r="N23"/>
    </row>
    <row r="24" spans="1:14" s="15" customFormat="1" ht="15.5" x14ac:dyDescent="0.35">
      <c r="A24"/>
      <c r="B24"/>
      <c r="C24"/>
      <c r="D24"/>
      <c r="E24"/>
      <c r="F24"/>
      <c r="G24"/>
      <c r="H24"/>
      <c r="I24" s="16" t="s">
        <v>151</v>
      </c>
      <c r="J24" s="95">
        <v>4.061621154391859E-2</v>
      </c>
      <c r="K24"/>
      <c r="L24"/>
      <c r="M24"/>
      <c r="N24"/>
    </row>
    <row r="25" spans="1:14" s="15" customFormat="1" ht="15.5" x14ac:dyDescent="0.35">
      <c r="A25"/>
      <c r="B25"/>
      <c r="C25"/>
      <c r="D25"/>
      <c r="E25"/>
      <c r="F25"/>
      <c r="G25"/>
      <c r="H25"/>
      <c r="I25" s="16" t="s">
        <v>207</v>
      </c>
      <c r="J25" s="95">
        <v>2.1839512241324854E-2</v>
      </c>
      <c r="K25"/>
      <c r="L25"/>
      <c r="M25"/>
      <c r="N25"/>
    </row>
    <row r="26" spans="1:14" s="15" customFormat="1" ht="15.5" x14ac:dyDescent="0.35">
      <c r="A26"/>
      <c r="B26"/>
      <c r="C26"/>
      <c r="D26"/>
      <c r="E26"/>
      <c r="F26"/>
      <c r="G26"/>
      <c r="H26"/>
      <c r="I26" s="16" t="s">
        <v>262</v>
      </c>
      <c r="J26" s="95">
        <v>0.46128993341092306</v>
      </c>
      <c r="K26"/>
      <c r="L26"/>
      <c r="M26"/>
      <c r="N26"/>
    </row>
    <row r="27" spans="1:14" s="15" customFormat="1" ht="15.5" x14ac:dyDescent="0.35">
      <c r="A27"/>
      <c r="B27"/>
      <c r="C27"/>
      <c r="D27"/>
      <c r="E27"/>
      <c r="F27"/>
      <c r="G27"/>
      <c r="H27"/>
      <c r="I27" s="16" t="s">
        <v>152</v>
      </c>
      <c r="J27" s="95">
        <v>0.11310015385089534</v>
      </c>
      <c r="K27"/>
      <c r="L27"/>
      <c r="M27"/>
      <c r="N27"/>
    </row>
    <row r="28" spans="1:14" s="15" customFormat="1" ht="15.5" x14ac:dyDescent="0.35">
      <c r="A28"/>
      <c r="B28"/>
      <c r="C28"/>
      <c r="D28"/>
      <c r="E28"/>
      <c r="F28"/>
      <c r="G28"/>
      <c r="H28"/>
      <c r="I28" s="16" t="s">
        <v>153</v>
      </c>
      <c r="J28" s="95">
        <v>-3.5086005868341652E-2</v>
      </c>
      <c r="K28"/>
      <c r="L28"/>
      <c r="M28"/>
      <c r="N28"/>
    </row>
    <row r="29" spans="1:14" s="15" customFormat="1" ht="15.5" x14ac:dyDescent="0.35">
      <c r="A29"/>
      <c r="B29"/>
      <c r="C29"/>
      <c r="D29"/>
      <c r="E29"/>
      <c r="F29"/>
      <c r="G29"/>
      <c r="H29"/>
      <c r="I29" s="54" t="s">
        <v>40</v>
      </c>
      <c r="J29" s="81">
        <v>5.4576221558685134E-2</v>
      </c>
      <c r="K29"/>
      <c r="L29"/>
      <c r="M29"/>
      <c r="N29"/>
    </row>
    <row r="30" spans="1:14" s="15" customFormat="1" ht="31.75" customHeight="1" x14ac:dyDescent="0.35">
      <c r="A30"/>
      <c r="B30"/>
      <c r="C30"/>
      <c r="D30"/>
      <c r="E30"/>
      <c r="F30"/>
      <c r="G30"/>
      <c r="H30"/>
      <c r="I30" s="251" t="s">
        <v>199</v>
      </c>
      <c r="J30" s="251"/>
      <c r="K30"/>
      <c r="L30"/>
      <c r="M30"/>
      <c r="N30"/>
    </row>
    <row r="35" spans="1:16" s="15" customFormat="1" ht="15.5" x14ac:dyDescent="0.35">
      <c r="A35"/>
      <c r="B35"/>
      <c r="C35"/>
      <c r="D35"/>
      <c r="E35"/>
      <c r="F35"/>
      <c r="G35"/>
      <c r="H35"/>
      <c r="I35"/>
      <c r="J35"/>
      <c r="K35"/>
      <c r="L35"/>
      <c r="M35"/>
      <c r="N35"/>
      <c r="O35"/>
      <c r="P35"/>
    </row>
    <row r="36" spans="1:16" s="15" customFormat="1" ht="15.5" x14ac:dyDescent="0.35">
      <c r="A36"/>
      <c r="B36"/>
      <c r="C36"/>
      <c r="D36"/>
      <c r="E36"/>
      <c r="F36"/>
      <c r="G36"/>
      <c r="H36"/>
      <c r="I36"/>
      <c r="J36"/>
      <c r="K36"/>
      <c r="L36"/>
      <c r="M36"/>
      <c r="N36"/>
      <c r="O36"/>
      <c r="P36"/>
    </row>
    <row r="37" spans="1:16" s="15" customFormat="1" ht="15.5" x14ac:dyDescent="0.35">
      <c r="A37"/>
      <c r="B37"/>
      <c r="C37"/>
      <c r="D37"/>
      <c r="E37"/>
      <c r="F37"/>
      <c r="G37"/>
      <c r="H37"/>
      <c r="I37"/>
      <c r="J37"/>
      <c r="K37"/>
      <c r="L37"/>
      <c r="M37"/>
      <c r="N37"/>
      <c r="O37"/>
      <c r="P37"/>
    </row>
    <row r="38" spans="1:16" s="15" customFormat="1" ht="15.5" x14ac:dyDescent="0.35">
      <c r="A38"/>
      <c r="B38"/>
      <c r="C38"/>
      <c r="D38"/>
      <c r="E38"/>
      <c r="F38"/>
      <c r="G38"/>
      <c r="H38"/>
      <c r="I38"/>
      <c r="J38"/>
      <c r="K38"/>
      <c r="L38"/>
      <c r="M38"/>
      <c r="N38"/>
      <c r="O38"/>
      <c r="P38"/>
    </row>
    <row r="39" spans="1:16" s="15" customFormat="1" ht="15.5" x14ac:dyDescent="0.35">
      <c r="A39"/>
      <c r="B39"/>
      <c r="C39"/>
      <c r="D39"/>
      <c r="E39"/>
      <c r="F39"/>
      <c r="G39"/>
      <c r="H39"/>
      <c r="I39"/>
      <c r="J39"/>
      <c r="K39"/>
      <c r="L39"/>
      <c r="M39"/>
      <c r="N39"/>
      <c r="O39"/>
      <c r="P39"/>
    </row>
    <row r="40" spans="1:16" ht="14.5" customHeight="1" x14ac:dyDescent="0.3"/>
    <row r="88" ht="14.5" customHeight="1" x14ac:dyDescent="0.3"/>
  </sheetData>
  <sheetProtection algorithmName="SHA-512" hashValue="WxIRpZuJvt8iZdYetecOMBtRhnPllnKO0kLY6sXNzO1Y+ZnA4PHXMXGfjoVpO8Wl79UySMENpghQQZxb39Se7w==" saltValue="/bP1T0ZKyvxtpPnRNaHnUA==" spinCount="100000" sheet="1" objects="1" scenarios="1"/>
  <sortState xmlns:xlrd2="http://schemas.microsoft.com/office/spreadsheetml/2017/richdata2" ref="A7:G19">
    <sortCondition ref="A7:A19"/>
  </sortState>
  <mergeCells count="1">
    <mergeCell ref="I30:J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67D47-30E9-45DB-9746-AC07A1D54195}">
  <dimension ref="A1:L41"/>
  <sheetViews>
    <sheetView zoomScale="80" zoomScaleNormal="80" workbookViewId="0"/>
  </sheetViews>
  <sheetFormatPr defaultRowHeight="14" x14ac:dyDescent="0.3"/>
  <cols>
    <col min="1" max="1" width="20.6640625" customWidth="1"/>
    <col min="2" max="2" width="23.9140625" customWidth="1"/>
    <col min="3" max="3" width="12" customWidth="1"/>
    <col min="4" max="4" width="12.58203125" customWidth="1"/>
    <col min="5" max="5" width="12" customWidth="1"/>
    <col min="6" max="6" width="12.08203125" customWidth="1"/>
    <col min="7" max="7" width="11.4140625" customWidth="1"/>
    <col min="8" max="8" width="21.08203125" customWidth="1"/>
    <col min="9" max="9" width="19.08203125" customWidth="1"/>
    <col min="10" max="10" width="19" customWidth="1"/>
    <col min="11" max="11" width="11.6640625" customWidth="1"/>
    <col min="12" max="13" width="19.58203125" customWidth="1"/>
    <col min="14" max="14" width="11.08203125" bestFit="1" customWidth="1"/>
    <col min="15" max="15" width="13.58203125" bestFit="1" customWidth="1"/>
  </cols>
  <sheetData>
    <row r="1" spans="1:12" ht="20" x14ac:dyDescent="0.4">
      <c r="A1" s="40" t="s">
        <v>0</v>
      </c>
    </row>
    <row r="2" spans="1:12" ht="15.5" x14ac:dyDescent="0.3">
      <c r="A2" s="41" t="s">
        <v>1</v>
      </c>
    </row>
    <row r="3" spans="1:12" ht="15.5" x14ac:dyDescent="0.3">
      <c r="A3" s="42" t="s">
        <v>289</v>
      </c>
    </row>
    <row r="5" spans="1:12" x14ac:dyDescent="0.3">
      <c r="A5" s="196" t="s">
        <v>178</v>
      </c>
      <c r="B5" s="197"/>
      <c r="C5" s="197"/>
      <c r="D5" s="197"/>
      <c r="E5" s="197"/>
      <c r="F5" s="197"/>
      <c r="G5" s="197"/>
    </row>
    <row r="6" spans="1:12" ht="15" customHeight="1" x14ac:dyDescent="0.3">
      <c r="A6" s="195" t="s">
        <v>253</v>
      </c>
      <c r="B6" s="195"/>
      <c r="C6" s="195"/>
      <c r="D6" s="195"/>
      <c r="E6" s="195"/>
      <c r="F6" s="195"/>
      <c r="G6" s="195"/>
    </row>
    <row r="7" spans="1:12" ht="15" customHeight="1" x14ac:dyDescent="0.3">
      <c r="A7" s="195"/>
      <c r="B7" s="195"/>
      <c r="C7" s="195"/>
      <c r="D7" s="195"/>
      <c r="E7" s="195"/>
      <c r="F7" s="195"/>
      <c r="G7" s="195"/>
    </row>
    <row r="8" spans="1:12" ht="15" customHeight="1" x14ac:dyDescent="0.3">
      <c r="A8" s="195"/>
      <c r="B8" s="195"/>
      <c r="C8" s="195"/>
      <c r="D8" s="195"/>
      <c r="E8" s="195"/>
      <c r="F8" s="195"/>
      <c r="G8" s="195"/>
    </row>
    <row r="9" spans="1:12" ht="15" customHeight="1" x14ac:dyDescent="0.3">
      <c r="A9" s="195"/>
      <c r="B9" s="195"/>
      <c r="C9" s="195"/>
      <c r="D9" s="195"/>
      <c r="E9" s="195"/>
      <c r="F9" s="195"/>
      <c r="G9" s="195"/>
    </row>
    <row r="10" spans="1:12" ht="26.5" customHeight="1" x14ac:dyDescent="0.3">
      <c r="A10" s="195"/>
      <c r="B10" s="195"/>
      <c r="C10" s="195"/>
      <c r="D10" s="195"/>
      <c r="E10" s="195"/>
      <c r="F10" s="195"/>
      <c r="G10" s="195"/>
    </row>
    <row r="11" spans="1:12" ht="15" customHeight="1" x14ac:dyDescent="0.3">
      <c r="A11" s="115"/>
      <c r="B11" s="115"/>
      <c r="C11" s="115"/>
      <c r="D11" s="115"/>
      <c r="E11" s="115"/>
      <c r="F11" s="115"/>
      <c r="G11" s="115"/>
    </row>
    <row r="12" spans="1:12" ht="15" customHeight="1" x14ac:dyDescent="0.3">
      <c r="A12" s="117"/>
      <c r="B12" s="118" t="s">
        <v>234</v>
      </c>
      <c r="C12" s="116"/>
      <c r="D12" s="116"/>
      <c r="E12" s="116"/>
      <c r="F12" s="116"/>
      <c r="G12" s="116"/>
      <c r="H12" s="116"/>
      <c r="I12" s="116"/>
      <c r="J12" s="116"/>
      <c r="K12" s="116"/>
      <c r="L12" s="116"/>
    </row>
    <row r="13" spans="1:12" x14ac:dyDescent="0.3">
      <c r="A13" s="122" t="s">
        <v>231</v>
      </c>
      <c r="B13" s="123" t="s">
        <v>6</v>
      </c>
      <c r="C13" s="123" t="s">
        <v>8</v>
      </c>
      <c r="D13" s="123" t="s">
        <v>157</v>
      </c>
      <c r="E13" s="123" t="s">
        <v>179</v>
      </c>
      <c r="F13" s="123" t="s">
        <v>13</v>
      </c>
      <c r="G13" s="123" t="s">
        <v>14</v>
      </c>
      <c r="H13" s="123" t="s">
        <v>16</v>
      </c>
      <c r="I13" s="123" t="s">
        <v>18</v>
      </c>
      <c r="J13" s="123" t="s">
        <v>20</v>
      </c>
      <c r="K13" s="123" t="s">
        <v>22</v>
      </c>
      <c r="L13" s="123" t="s">
        <v>24</v>
      </c>
    </row>
    <row r="14" spans="1:12" x14ac:dyDescent="0.3">
      <c r="A14" s="119" t="s">
        <v>180</v>
      </c>
      <c r="B14" s="121">
        <v>1</v>
      </c>
      <c r="C14" s="121">
        <v>1</v>
      </c>
      <c r="D14" s="121"/>
      <c r="E14" s="121">
        <v>1</v>
      </c>
      <c r="F14" s="121"/>
      <c r="G14" s="121"/>
      <c r="H14" s="121">
        <v>1</v>
      </c>
      <c r="I14" s="121">
        <v>1</v>
      </c>
      <c r="J14" s="121">
        <v>1</v>
      </c>
      <c r="K14" s="121"/>
      <c r="L14" s="121">
        <v>1</v>
      </c>
    </row>
    <row r="15" spans="1:12" x14ac:dyDescent="0.3">
      <c r="A15" s="119" t="s">
        <v>181</v>
      </c>
      <c r="B15" s="121">
        <v>1</v>
      </c>
      <c r="C15" s="121"/>
      <c r="D15" s="121"/>
      <c r="E15" s="121"/>
      <c r="F15" s="121">
        <v>1</v>
      </c>
      <c r="G15" s="121"/>
      <c r="H15" s="121"/>
      <c r="I15" s="121"/>
      <c r="J15" s="121"/>
      <c r="K15" s="121"/>
      <c r="L15" s="121"/>
    </row>
    <row r="16" spans="1:12" x14ac:dyDescent="0.3">
      <c r="A16" s="119" t="s">
        <v>233</v>
      </c>
      <c r="B16" s="121">
        <v>1</v>
      </c>
      <c r="C16" s="121"/>
      <c r="D16" s="121"/>
      <c r="E16" s="121"/>
      <c r="F16" s="121"/>
      <c r="G16" s="121"/>
      <c r="H16" s="121"/>
      <c r="I16" s="121"/>
      <c r="J16" s="121"/>
      <c r="K16" s="121">
        <v>1</v>
      </c>
      <c r="L16" s="121"/>
    </row>
    <row r="17" spans="1:12" x14ac:dyDescent="0.3">
      <c r="A17" s="119" t="s">
        <v>53</v>
      </c>
      <c r="B17" s="121">
        <v>1</v>
      </c>
      <c r="C17" s="121"/>
      <c r="D17" s="121">
        <v>1</v>
      </c>
      <c r="E17" s="121"/>
      <c r="F17" s="121">
        <v>1</v>
      </c>
      <c r="G17" s="121"/>
      <c r="H17" s="121"/>
      <c r="I17" s="121"/>
      <c r="J17" s="121"/>
      <c r="K17" s="121"/>
      <c r="L17" s="121">
        <v>1</v>
      </c>
    </row>
    <row r="18" spans="1:12" x14ac:dyDescent="0.3">
      <c r="A18" s="119" t="s">
        <v>56</v>
      </c>
      <c r="B18" s="121">
        <v>1</v>
      </c>
      <c r="C18" s="121">
        <v>1</v>
      </c>
      <c r="D18" s="121"/>
      <c r="E18" s="121">
        <v>1</v>
      </c>
      <c r="F18" s="121">
        <v>1</v>
      </c>
      <c r="G18" s="121"/>
      <c r="H18" s="121"/>
      <c r="I18" s="121"/>
      <c r="J18" s="121"/>
      <c r="K18" s="121"/>
      <c r="L18" s="121"/>
    </row>
    <row r="19" spans="1:12" x14ac:dyDescent="0.3">
      <c r="A19" s="119" t="s">
        <v>236</v>
      </c>
      <c r="B19" s="121">
        <v>1</v>
      </c>
      <c r="C19" s="121"/>
      <c r="D19" s="121">
        <v>1</v>
      </c>
      <c r="E19" s="121"/>
      <c r="F19" s="121"/>
      <c r="G19" s="121"/>
      <c r="H19" s="121"/>
      <c r="I19" s="121"/>
      <c r="J19" s="121"/>
      <c r="K19" s="121"/>
      <c r="L19" s="121"/>
    </row>
    <row r="20" spans="1:12" x14ac:dyDescent="0.3">
      <c r="A20" s="119" t="s">
        <v>232</v>
      </c>
      <c r="B20" s="121">
        <v>1</v>
      </c>
      <c r="C20" s="121"/>
      <c r="D20" s="121"/>
      <c r="E20" s="121">
        <v>1</v>
      </c>
      <c r="F20" s="121">
        <v>1</v>
      </c>
      <c r="G20" s="121"/>
      <c r="H20" s="121"/>
      <c r="I20" s="121"/>
      <c r="J20" s="121"/>
      <c r="K20" s="121"/>
      <c r="L20" s="121"/>
    </row>
    <row r="21" spans="1:12" x14ac:dyDescent="0.3">
      <c r="A21" s="120" t="s">
        <v>235</v>
      </c>
      <c r="B21" s="121">
        <v>1</v>
      </c>
      <c r="C21" s="121"/>
      <c r="D21" s="121">
        <v>1</v>
      </c>
      <c r="E21" s="121"/>
      <c r="F21" s="121"/>
      <c r="G21" s="121"/>
      <c r="H21" s="121"/>
      <c r="I21" s="121"/>
      <c r="J21" s="121"/>
      <c r="K21" s="121"/>
      <c r="L21" s="121"/>
    </row>
    <row r="22" spans="1:12" x14ac:dyDescent="0.3">
      <c r="A22" s="119" t="s">
        <v>50</v>
      </c>
      <c r="B22" s="121">
        <v>1</v>
      </c>
      <c r="C22" s="121"/>
      <c r="D22" s="121"/>
      <c r="E22" s="121">
        <v>1</v>
      </c>
      <c r="F22" s="121"/>
      <c r="G22" s="121"/>
      <c r="H22" s="121">
        <v>1</v>
      </c>
      <c r="I22" s="121"/>
      <c r="J22" s="121">
        <v>1</v>
      </c>
      <c r="K22" s="121"/>
      <c r="L22" s="121"/>
    </row>
    <row r="23" spans="1:12" x14ac:dyDescent="0.3">
      <c r="A23" s="119" t="s">
        <v>63</v>
      </c>
      <c r="B23" s="121">
        <v>1</v>
      </c>
      <c r="C23" s="121"/>
      <c r="D23" s="121"/>
      <c r="E23" s="121"/>
      <c r="F23" s="121"/>
      <c r="G23" s="121">
        <v>1</v>
      </c>
      <c r="H23" s="121"/>
      <c r="I23" s="121"/>
      <c r="J23" s="121"/>
      <c r="K23" s="121"/>
      <c r="L23" s="121"/>
    </row>
    <row r="24" spans="1:12" x14ac:dyDescent="0.3">
      <c r="A24" s="119" t="s">
        <v>64</v>
      </c>
      <c r="B24" s="121">
        <v>1</v>
      </c>
      <c r="C24" s="121"/>
      <c r="D24" s="121"/>
      <c r="E24" s="121"/>
      <c r="F24" s="121"/>
      <c r="G24" s="121">
        <v>1</v>
      </c>
      <c r="H24" s="121"/>
      <c r="I24" s="121"/>
      <c r="J24" s="121"/>
      <c r="K24" s="121"/>
      <c r="L24" s="121"/>
    </row>
    <row r="25" spans="1:12" x14ac:dyDescent="0.3">
      <c r="A25" s="119" t="s">
        <v>65</v>
      </c>
      <c r="B25" s="121">
        <v>1</v>
      </c>
      <c r="C25" s="121"/>
      <c r="D25" s="121"/>
      <c r="E25" s="121"/>
      <c r="F25" s="121"/>
      <c r="G25" s="121">
        <v>1</v>
      </c>
      <c r="H25" s="121"/>
      <c r="I25" s="121"/>
      <c r="J25" s="121"/>
      <c r="K25" s="121"/>
      <c r="L25" s="121"/>
    </row>
    <row r="26" spans="1:12" x14ac:dyDescent="0.3">
      <c r="A26" s="119" t="s">
        <v>62</v>
      </c>
      <c r="B26" s="121">
        <v>1</v>
      </c>
      <c r="C26" s="121"/>
      <c r="D26" s="121"/>
      <c r="E26" s="121"/>
      <c r="F26" s="121"/>
      <c r="G26" s="121">
        <v>1</v>
      </c>
      <c r="H26" s="121"/>
      <c r="I26" s="121"/>
      <c r="J26" s="121"/>
      <c r="K26" s="121"/>
      <c r="L26" s="121"/>
    </row>
    <row r="27" spans="1:12" x14ac:dyDescent="0.3">
      <c r="A27" s="119" t="s">
        <v>230</v>
      </c>
      <c r="B27" s="121">
        <v>1</v>
      </c>
      <c r="C27" s="121"/>
      <c r="D27" s="121"/>
      <c r="E27" s="121"/>
      <c r="F27" s="121"/>
      <c r="G27" s="121"/>
      <c r="H27" s="121"/>
      <c r="I27" s="121"/>
      <c r="J27" s="121"/>
      <c r="K27" s="121"/>
      <c r="L27" s="121"/>
    </row>
    <row r="30" spans="1:12" x14ac:dyDescent="0.3">
      <c r="A30" s="124" t="s">
        <v>182</v>
      </c>
      <c r="B30" s="124" t="s">
        <v>188</v>
      </c>
    </row>
    <row r="31" spans="1:12" ht="28" x14ac:dyDescent="0.3">
      <c r="A31" s="119" t="s">
        <v>65</v>
      </c>
      <c r="B31" s="120" t="s">
        <v>194</v>
      </c>
    </row>
    <row r="32" spans="1:12" ht="28" x14ac:dyDescent="0.3">
      <c r="A32" s="119" t="s">
        <v>35</v>
      </c>
      <c r="B32" s="120" t="s">
        <v>248</v>
      </c>
    </row>
    <row r="33" spans="1:2" x14ac:dyDescent="0.3">
      <c r="A33" s="119" t="s">
        <v>187</v>
      </c>
      <c r="B33" s="120" t="s">
        <v>189</v>
      </c>
    </row>
    <row r="34" spans="1:2" x14ac:dyDescent="0.3">
      <c r="A34" s="119" t="s">
        <v>64</v>
      </c>
      <c r="B34" s="120" t="s">
        <v>196</v>
      </c>
    </row>
    <row r="35" spans="1:2" x14ac:dyDescent="0.3">
      <c r="A35" s="119" t="s">
        <v>190</v>
      </c>
      <c r="B35" s="120" t="s">
        <v>191</v>
      </c>
    </row>
    <row r="36" spans="1:2" ht="28" x14ac:dyDescent="0.3">
      <c r="A36" s="119" t="s">
        <v>192</v>
      </c>
      <c r="B36" s="120" t="s">
        <v>193</v>
      </c>
    </row>
    <row r="37" spans="1:2" x14ac:dyDescent="0.3">
      <c r="A37" s="119" t="s">
        <v>161</v>
      </c>
      <c r="B37" s="120" t="s">
        <v>183</v>
      </c>
    </row>
    <row r="38" spans="1:2" ht="28" x14ac:dyDescent="0.3">
      <c r="A38" s="119" t="s">
        <v>185</v>
      </c>
      <c r="B38" s="120" t="s">
        <v>186</v>
      </c>
    </row>
    <row r="39" spans="1:2" x14ac:dyDescent="0.3">
      <c r="A39" s="119" t="s">
        <v>90</v>
      </c>
      <c r="B39" s="120" t="s">
        <v>184</v>
      </c>
    </row>
    <row r="40" spans="1:2" x14ac:dyDescent="0.3">
      <c r="A40" s="119" t="s">
        <v>62</v>
      </c>
      <c r="B40" s="120" t="s">
        <v>195</v>
      </c>
    </row>
    <row r="41" spans="1:2" x14ac:dyDescent="0.3">
      <c r="A41" s="87"/>
    </row>
  </sheetData>
  <sheetProtection algorithmName="SHA-512" hashValue="cruGwHSf50BthBp/edTLVqm2HLc8sX2GaC7nLmO/Ww2HVOUCiwxdipnBBS+s5+JZmjf1G5h0/PYKBKYJ96i1dQ==" saltValue="iflHVUQNp7yPqZXqnQcy2g==" spinCount="100000" sheet="1" objects="1" scenarios="1"/>
  <sortState xmlns:xlrd2="http://schemas.microsoft.com/office/spreadsheetml/2017/richdata2" ref="A31:B39">
    <sortCondition ref="A31:A39"/>
  </sortState>
  <mergeCells count="2">
    <mergeCell ref="A6:G10"/>
    <mergeCell ref="A5:G5"/>
  </mergeCells>
  <conditionalFormatting sqref="B14:L27">
    <cfRule type="iconSet" priority="1">
      <iconSet iconSet="3Symbols" showValue="0">
        <cfvo type="percent" val="0"/>
        <cfvo type="percent" val="0"/>
        <cfvo type="num" val="1"/>
      </iconSet>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4891"/>
  </sheetPr>
  <dimension ref="A1:I50"/>
  <sheetViews>
    <sheetView showGridLines="0" zoomScale="80" zoomScaleNormal="80" workbookViewId="0"/>
  </sheetViews>
  <sheetFormatPr defaultRowHeight="14" x14ac:dyDescent="0.3"/>
  <cols>
    <col min="1" max="1" width="44.08203125" customWidth="1"/>
    <col min="2" max="2" width="19.6640625" customWidth="1"/>
    <col min="3" max="3" width="19.9140625" customWidth="1"/>
    <col min="4" max="4" width="18.08203125" customWidth="1"/>
    <col min="5" max="5" width="90.5" customWidth="1"/>
    <col min="6" max="6" width="21" customWidth="1"/>
    <col min="7" max="7" width="17" customWidth="1"/>
    <col min="8" max="8" width="9.6640625" bestFit="1" customWidth="1"/>
    <col min="9" max="9" width="26.6640625" customWidth="1"/>
    <col min="10" max="10" width="19.08203125" customWidth="1"/>
    <col min="11" max="11" width="20.6640625" customWidth="1"/>
    <col min="12" max="12" width="16.9140625" bestFit="1" customWidth="1"/>
    <col min="13" max="13" width="13.08203125" bestFit="1" customWidth="1"/>
  </cols>
  <sheetData>
    <row r="1" spans="1:9" ht="20" x14ac:dyDescent="0.4">
      <c r="A1" s="40" t="s">
        <v>0</v>
      </c>
      <c r="B1" s="2"/>
      <c r="C1" s="2"/>
      <c r="D1" s="2"/>
    </row>
    <row r="2" spans="1:9" ht="15.5" x14ac:dyDescent="0.35">
      <c r="A2" s="41" t="s">
        <v>25</v>
      </c>
      <c r="B2" s="3"/>
      <c r="C2" s="3"/>
      <c r="D2" s="3"/>
    </row>
    <row r="3" spans="1:9" ht="15.5" x14ac:dyDescent="0.3">
      <c r="A3" s="4"/>
      <c r="B3" s="5"/>
      <c r="C3" s="5"/>
      <c r="D3" s="5"/>
    </row>
    <row r="5" spans="1:9" ht="15.5" x14ac:dyDescent="0.35">
      <c r="A5" s="198" t="s">
        <v>26</v>
      </c>
      <c r="B5" s="198" t="s">
        <v>27</v>
      </c>
      <c r="C5" s="198"/>
      <c r="D5" s="67" t="s">
        <v>28</v>
      </c>
      <c r="E5" s="201" t="s">
        <v>29</v>
      </c>
    </row>
    <row r="6" spans="1:9" ht="15.5" x14ac:dyDescent="0.35">
      <c r="A6" s="198"/>
      <c r="B6" s="68">
        <v>2022</v>
      </c>
      <c r="C6" s="68">
        <v>2023</v>
      </c>
      <c r="D6" s="68" t="s">
        <v>30</v>
      </c>
      <c r="E6" s="202"/>
    </row>
    <row r="7" spans="1:9" ht="17" customHeight="1" x14ac:dyDescent="0.35">
      <c r="A7" s="16" t="s">
        <v>243</v>
      </c>
      <c r="B7" s="17">
        <f>THCE_Comm!C7</f>
        <v>112767066992</v>
      </c>
      <c r="C7" s="17">
        <f>THCE_Comm!D7</f>
        <v>117750164162</v>
      </c>
      <c r="D7" s="18">
        <f t="shared" ref="D7:D11" si="0">IFERROR((C7-B7)/B7, "")</f>
        <v>4.4189294826241371E-2</v>
      </c>
      <c r="E7" s="16" t="s">
        <v>254</v>
      </c>
    </row>
    <row r="8" spans="1:9" ht="15.5" x14ac:dyDescent="0.35">
      <c r="A8" s="20" t="s">
        <v>238</v>
      </c>
      <c r="B8" s="17">
        <f>SUM(THCE_MCal!C7:C9)</f>
        <v>119609767237.51848</v>
      </c>
      <c r="C8" s="17">
        <f>SUM(THCE_MCal!D7:D9)</f>
        <v>125272931087.30209</v>
      </c>
      <c r="D8" s="18">
        <f t="shared" si="0"/>
        <v>4.7347001675355049E-2</v>
      </c>
      <c r="E8" s="20" t="s">
        <v>249</v>
      </c>
    </row>
    <row r="9" spans="1:9" ht="17" customHeight="1" x14ac:dyDescent="0.35">
      <c r="A9" s="20" t="s">
        <v>244</v>
      </c>
      <c r="B9" s="17">
        <f>SUM(THCE_Mcare!C7:C8)</f>
        <v>103490838277</v>
      </c>
      <c r="C9" s="17">
        <f>SUM(THCE_Mcare!D7:D8)</f>
        <v>110391075004</v>
      </c>
      <c r="D9" s="18">
        <f t="shared" si="0"/>
        <v>6.6674855879812908E-2</v>
      </c>
      <c r="E9" s="20" t="s">
        <v>246</v>
      </c>
    </row>
    <row r="10" spans="1:9" ht="17" customHeight="1" x14ac:dyDescent="0.35">
      <c r="A10" s="20" t="s">
        <v>245</v>
      </c>
      <c r="B10" s="17">
        <f>THCE_Mcare!C9</f>
        <v>6496154798</v>
      </c>
      <c r="C10" s="17">
        <f>THCE_Mcare!D9</f>
        <v>8783707637</v>
      </c>
      <c r="D10" s="18">
        <f t="shared" si="0"/>
        <v>0.35213952101392026</v>
      </c>
      <c r="E10" s="20" t="s">
        <v>252</v>
      </c>
    </row>
    <row r="11" spans="1:9" ht="17" customHeight="1" x14ac:dyDescent="0.35">
      <c r="A11" s="20" t="s">
        <v>224</v>
      </c>
      <c r="B11" s="43">
        <f>SUM(THCE_ACP!C7:C9)</f>
        <v>17107453874.949921</v>
      </c>
      <c r="C11" s="43">
        <f>SUM(THCE_ACP!D7:D9)</f>
        <v>21076799301.767906</v>
      </c>
      <c r="D11" s="18">
        <f t="shared" si="0"/>
        <v>0.23202432435782938</v>
      </c>
      <c r="E11" s="20"/>
    </row>
    <row r="12" spans="1:9" ht="17" customHeight="1" x14ac:dyDescent="0.35">
      <c r="A12" s="16" t="s">
        <v>36</v>
      </c>
      <c r="B12" s="17">
        <f>THCE_Other!C7</f>
        <v>9336465721.1987991</v>
      </c>
      <c r="C12" s="17">
        <f>THCE_Other!D7</f>
        <v>9629136699.0513802</v>
      </c>
      <c r="D12" s="18">
        <f t="shared" ref="D12:D17" si="1">IFERROR((C12-B12)/B12, "")</f>
        <v>3.1347084281374317E-2</v>
      </c>
      <c r="E12" s="16"/>
      <c r="I12" s="109"/>
    </row>
    <row r="13" spans="1:9" ht="17" customHeight="1" x14ac:dyDescent="0.35">
      <c r="A13" s="16" t="s">
        <v>37</v>
      </c>
      <c r="B13" s="31">
        <f>THCE_Other!C8</f>
        <v>538955668</v>
      </c>
      <c r="C13" s="31">
        <f>THCE_Other!D8</f>
        <v>547490122</v>
      </c>
      <c r="D13" s="18">
        <f t="shared" si="1"/>
        <v>1.5835168839897978E-2</v>
      </c>
      <c r="E13" s="16"/>
    </row>
    <row r="14" spans="1:9" ht="17" customHeight="1" x14ac:dyDescent="0.35">
      <c r="A14" s="16" t="s">
        <v>38</v>
      </c>
      <c r="B14" s="31">
        <f>THCE_Other!C9</f>
        <v>268076000</v>
      </c>
      <c r="C14" s="31">
        <f>THCE_Other!D9</f>
        <v>256395000</v>
      </c>
      <c r="D14" s="18">
        <f t="shared" si="1"/>
        <v>-4.3573464241483756E-2</v>
      </c>
      <c r="E14" s="44"/>
    </row>
    <row r="15" spans="1:9" ht="17" customHeight="1" x14ac:dyDescent="0.35">
      <c r="A15" s="16" t="s">
        <v>39</v>
      </c>
      <c r="B15" s="31">
        <f>THCE_Other!C10</f>
        <v>8024153634</v>
      </c>
      <c r="C15" s="31">
        <f>THCE_Other!D10</f>
        <v>14921283574</v>
      </c>
      <c r="D15" s="18">
        <f t="shared" si="1"/>
        <v>0.85954609727005138</v>
      </c>
      <c r="E15" s="65" t="s">
        <v>162</v>
      </c>
      <c r="H15" s="191">
        <f>F15-G15</f>
        <v>0</v>
      </c>
      <c r="I15" s="66"/>
    </row>
    <row r="16" spans="1:9" ht="17" customHeight="1" x14ac:dyDescent="0.35">
      <c r="A16" s="54" t="s">
        <v>219</v>
      </c>
      <c r="B16" s="70">
        <f>B17-B11</f>
        <v>360531478327.71729</v>
      </c>
      <c r="C16" s="46">
        <f>C17-C11</f>
        <v>387552183285.35352</v>
      </c>
      <c r="D16" s="47">
        <f>IFERROR((C16-B16)/B16, "")</f>
        <v>7.4946867560548608E-2</v>
      </c>
      <c r="E16" s="103" t="s">
        <v>211</v>
      </c>
      <c r="I16" s="66"/>
    </row>
    <row r="17" spans="1:5" ht="17" customHeight="1" x14ac:dyDescent="0.35">
      <c r="A17" s="45" t="s">
        <v>210</v>
      </c>
      <c r="B17" s="46">
        <f>SUM(B7:B15)</f>
        <v>377638932202.66718</v>
      </c>
      <c r="C17" s="46">
        <f>SUM(C7:C15)</f>
        <v>408628982587.1214</v>
      </c>
      <c r="D17" s="47">
        <f t="shared" si="1"/>
        <v>8.2062646993776633E-2</v>
      </c>
      <c r="E17" s="103" t="s">
        <v>212</v>
      </c>
    </row>
    <row r="18" spans="1:5" ht="15.5" x14ac:dyDescent="0.35">
      <c r="A18" s="15"/>
      <c r="B18" s="109"/>
      <c r="C18" s="109"/>
      <c r="E18" s="15"/>
    </row>
    <row r="19" spans="1:5" ht="15.5" x14ac:dyDescent="0.35">
      <c r="A19" s="15"/>
      <c r="B19" s="15"/>
      <c r="C19" s="15"/>
      <c r="D19" s="15"/>
      <c r="E19" s="15"/>
    </row>
    <row r="20" spans="1:5" ht="15.5" x14ac:dyDescent="0.35">
      <c r="A20" s="198" t="s">
        <v>26</v>
      </c>
      <c r="B20" s="198" t="s">
        <v>160</v>
      </c>
      <c r="C20" s="198"/>
      <c r="D20" s="67" t="s">
        <v>28</v>
      </c>
      <c r="E20" s="201" t="s">
        <v>29</v>
      </c>
    </row>
    <row r="21" spans="1:5" ht="15.5" x14ac:dyDescent="0.35">
      <c r="A21" s="198"/>
      <c r="B21" s="68">
        <v>2022</v>
      </c>
      <c r="C21" s="68">
        <v>2023</v>
      </c>
      <c r="D21" s="68" t="s">
        <v>30</v>
      </c>
      <c r="E21" s="202"/>
    </row>
    <row r="22" spans="1:5" ht="17" customHeight="1" x14ac:dyDescent="0.35">
      <c r="A22" s="16" t="s">
        <v>31</v>
      </c>
      <c r="B22" s="49">
        <f>THCE_Comm!C14</f>
        <v>17341566</v>
      </c>
      <c r="C22" s="49">
        <f>THCE_Comm!D14</f>
        <v>17243069.333333332</v>
      </c>
      <c r="D22" s="18">
        <f t="shared" ref="D22:D25" si="2">IFERROR((C22-B22)/B22, "")</f>
        <v>-5.6798023123556382E-3</v>
      </c>
      <c r="E22" s="16"/>
    </row>
    <row r="23" spans="1:5" ht="17" customHeight="1" x14ac:dyDescent="0.35">
      <c r="A23" s="20" t="s">
        <v>239</v>
      </c>
      <c r="B23" s="33">
        <f>THCE_MCal!C17</f>
        <v>15090496.75</v>
      </c>
      <c r="C23" s="33">
        <f>THCE_MCal!D17</f>
        <v>15617257</v>
      </c>
      <c r="D23" s="18">
        <f t="shared" si="2"/>
        <v>3.4906753483777794E-2</v>
      </c>
      <c r="E23" s="20" t="s">
        <v>250</v>
      </c>
    </row>
    <row r="24" spans="1:5" ht="17" customHeight="1" x14ac:dyDescent="0.35">
      <c r="A24" s="20" t="s">
        <v>240</v>
      </c>
      <c r="B24" s="49">
        <f>SUM(THCE_Mcare!C16:C17)</f>
        <v>5981777.916666666</v>
      </c>
      <c r="C24" s="49">
        <f>SUM(THCE_Mcare!D16:D17)</f>
        <v>6038025</v>
      </c>
      <c r="D24" s="18">
        <f t="shared" si="2"/>
        <v>9.4030711465593036E-3</v>
      </c>
      <c r="E24" s="20" t="s">
        <v>251</v>
      </c>
    </row>
    <row r="25" spans="1:5" ht="17" customHeight="1" x14ac:dyDescent="0.35">
      <c r="A25" s="20" t="s">
        <v>241</v>
      </c>
      <c r="B25" s="49">
        <f>THCE_Mcare!C18</f>
        <v>325878</v>
      </c>
      <c r="C25" s="49">
        <f>THCE_Mcare!D18</f>
        <v>403585.16666666663</v>
      </c>
      <c r="D25" s="18">
        <f t="shared" si="2"/>
        <v>0.2384547796005457</v>
      </c>
      <c r="E25" s="20" t="s">
        <v>247</v>
      </c>
    </row>
    <row r="26" spans="1:5" ht="17" customHeight="1" x14ac:dyDescent="0.35">
      <c r="A26" s="20" t="s">
        <v>224</v>
      </c>
      <c r="B26" s="49">
        <f>SUM(THCE_ACP!C14:C16)</f>
        <v>32912998.520000003</v>
      </c>
      <c r="C26" s="49">
        <f>SUM(THCE_ACP!D14:D16)</f>
        <v>34391153.696666665</v>
      </c>
      <c r="D26" s="18">
        <f t="shared" ref="D26:D31" si="3">IFERROR((C26-B26)/B26, "")</f>
        <v>4.4910984812533632E-2</v>
      </c>
      <c r="E26" s="16" t="s">
        <v>242</v>
      </c>
    </row>
    <row r="27" spans="1:5" ht="17" customHeight="1" x14ac:dyDescent="0.35">
      <c r="A27" s="16" t="s">
        <v>36</v>
      </c>
      <c r="B27" s="49">
        <f>THCE_Other!C15</f>
        <v>457283</v>
      </c>
      <c r="C27" s="49">
        <f>THCE_Other!D15</f>
        <v>453584</v>
      </c>
      <c r="D27" s="18">
        <f t="shared" si="3"/>
        <v>-8.0890826905876661E-3</v>
      </c>
      <c r="E27" s="16"/>
    </row>
    <row r="28" spans="1:5" ht="17" customHeight="1" x14ac:dyDescent="0.35">
      <c r="A28" s="16" t="s">
        <v>37</v>
      </c>
      <c r="B28" s="49">
        <f>THCE_Other!C16</f>
        <v>96610</v>
      </c>
      <c r="C28" s="49">
        <f>THCE_Other!D16</f>
        <v>95720.333333333328</v>
      </c>
      <c r="D28" s="18">
        <f t="shared" si="3"/>
        <v>-9.2088465652279423E-3</v>
      </c>
      <c r="E28" s="16"/>
    </row>
    <row r="29" spans="1:5" ht="17" customHeight="1" x14ac:dyDescent="0.35">
      <c r="A29" s="16" t="s">
        <v>38</v>
      </c>
      <c r="B29" s="33" t="s">
        <v>41</v>
      </c>
      <c r="C29" s="33" t="s">
        <v>42</v>
      </c>
      <c r="D29" s="33" t="s">
        <v>42</v>
      </c>
      <c r="E29" s="16" t="s">
        <v>43</v>
      </c>
    </row>
    <row r="30" spans="1:5" ht="17" customHeight="1" x14ac:dyDescent="0.35">
      <c r="A30" s="16" t="s">
        <v>39</v>
      </c>
      <c r="B30" s="50" t="s">
        <v>41</v>
      </c>
      <c r="C30" s="50" t="s">
        <v>42</v>
      </c>
      <c r="D30" s="50" t="s">
        <v>42</v>
      </c>
      <c r="E30" s="16" t="s">
        <v>43</v>
      </c>
    </row>
    <row r="31" spans="1:5" ht="17" customHeight="1" x14ac:dyDescent="0.35">
      <c r="A31" s="45" t="s">
        <v>40</v>
      </c>
      <c r="B31" s="100">
        <v>39029342</v>
      </c>
      <c r="C31" s="51">
        <v>38965193</v>
      </c>
      <c r="D31" s="47">
        <f t="shared" si="3"/>
        <v>-1.6436095694362463E-3</v>
      </c>
      <c r="E31" s="16" t="s">
        <v>208</v>
      </c>
    </row>
    <row r="32" spans="1:5" ht="15.5" x14ac:dyDescent="0.35">
      <c r="A32" s="15"/>
      <c r="B32" s="15"/>
      <c r="C32" s="15"/>
      <c r="D32" s="15"/>
      <c r="E32" s="15"/>
    </row>
    <row r="33" spans="1:5" ht="15.5" x14ac:dyDescent="0.35">
      <c r="A33" s="15"/>
      <c r="B33" s="15"/>
      <c r="C33" s="15"/>
      <c r="D33" s="15"/>
      <c r="E33" s="15"/>
    </row>
    <row r="34" spans="1:5" ht="15.5" x14ac:dyDescent="0.35">
      <c r="A34" s="198" t="s">
        <v>26</v>
      </c>
      <c r="B34" s="199" t="s">
        <v>161</v>
      </c>
      <c r="C34" s="200"/>
      <c r="D34" s="67" t="s">
        <v>28</v>
      </c>
      <c r="E34" s="201" t="s">
        <v>29</v>
      </c>
    </row>
    <row r="35" spans="1:5" ht="15.5" x14ac:dyDescent="0.35">
      <c r="A35" s="198"/>
      <c r="B35" s="68">
        <v>2022</v>
      </c>
      <c r="C35" s="68">
        <v>2023</v>
      </c>
      <c r="D35" s="68" t="s">
        <v>30</v>
      </c>
      <c r="E35" s="202"/>
    </row>
    <row r="36" spans="1:5" ht="17" customHeight="1" x14ac:dyDescent="0.35">
      <c r="A36" s="16" t="s">
        <v>243</v>
      </c>
      <c r="B36" s="19">
        <f t="shared" ref="B36:C37" si="4">ROUND(IFERROR(B7/B22, ""),0)</f>
        <v>6503</v>
      </c>
      <c r="C36" s="19">
        <f t="shared" si="4"/>
        <v>6829</v>
      </c>
      <c r="D36" s="18">
        <f t="shared" ref="D36:D41" si="5">IFERROR((C36-B36)/B36, "")</f>
        <v>5.0130708903582961E-2</v>
      </c>
      <c r="E36" s="65" t="s">
        <v>211</v>
      </c>
    </row>
    <row r="37" spans="1:5" ht="17" customHeight="1" x14ac:dyDescent="0.35">
      <c r="A37" s="20" t="s">
        <v>238</v>
      </c>
      <c r="B37" s="19">
        <f t="shared" si="4"/>
        <v>7926</v>
      </c>
      <c r="C37" s="19">
        <f t="shared" si="4"/>
        <v>8021</v>
      </c>
      <c r="D37" s="18">
        <f t="shared" ref="D37:D38" si="6">IFERROR((C37-B37)/B37, "")</f>
        <v>1.1985869290941207E-2</v>
      </c>
      <c r="E37" s="65" t="s">
        <v>211</v>
      </c>
    </row>
    <row r="38" spans="1:5" ht="17" customHeight="1" x14ac:dyDescent="0.35">
      <c r="A38" s="20" t="s">
        <v>287</v>
      </c>
      <c r="B38" s="19">
        <f>ROUND(IFERROR((B9+B10)/(B24+B25), ""),0)</f>
        <v>17437</v>
      </c>
      <c r="C38" s="19">
        <f>ROUND(IFERROR((C9+C10)/(C24+C25), ""),0)</f>
        <v>18501</v>
      </c>
      <c r="D38" s="18">
        <f t="shared" si="6"/>
        <v>6.1019670814933764E-2</v>
      </c>
      <c r="E38" s="65" t="s">
        <v>211</v>
      </c>
    </row>
    <row r="39" spans="1:5" ht="17" customHeight="1" x14ac:dyDescent="0.35">
      <c r="A39" s="20" t="s">
        <v>224</v>
      </c>
      <c r="B39" s="62">
        <f t="shared" ref="B39:C41" si="7">ROUND(IFERROR(B11/B26, ""),0)</f>
        <v>520</v>
      </c>
      <c r="C39" s="19">
        <f t="shared" si="7"/>
        <v>613</v>
      </c>
      <c r="D39" s="18">
        <f t="shared" si="5"/>
        <v>0.17884615384615385</v>
      </c>
      <c r="E39" s="16"/>
    </row>
    <row r="40" spans="1:5" ht="17" customHeight="1" x14ac:dyDescent="0.35">
      <c r="A40" s="16" t="s">
        <v>36</v>
      </c>
      <c r="B40" s="62">
        <f t="shared" si="7"/>
        <v>20417</v>
      </c>
      <c r="C40" s="62">
        <f t="shared" si="7"/>
        <v>21229</v>
      </c>
      <c r="D40" s="18">
        <f t="shared" si="5"/>
        <v>3.9770779252583634E-2</v>
      </c>
      <c r="E40" s="16"/>
    </row>
    <row r="41" spans="1:5" ht="17" customHeight="1" x14ac:dyDescent="0.35">
      <c r="A41" s="16" t="s">
        <v>37</v>
      </c>
      <c r="B41" s="62">
        <f t="shared" si="7"/>
        <v>5579</v>
      </c>
      <c r="C41" s="62">
        <f t="shared" si="7"/>
        <v>5720</v>
      </c>
      <c r="D41" s="83">
        <f t="shared" si="5"/>
        <v>2.5273346477863418E-2</v>
      </c>
      <c r="E41" s="16"/>
    </row>
    <row r="42" spans="1:5" ht="17" customHeight="1" x14ac:dyDescent="0.35">
      <c r="A42" s="16" t="s">
        <v>38</v>
      </c>
      <c r="B42" s="99" t="s">
        <v>41</v>
      </c>
      <c r="C42" s="99" t="s">
        <v>42</v>
      </c>
      <c r="D42" s="33" t="s">
        <v>42</v>
      </c>
      <c r="E42" s="16" t="s">
        <v>43</v>
      </c>
    </row>
    <row r="43" spans="1:5" ht="17" customHeight="1" x14ac:dyDescent="0.35">
      <c r="A43" s="16" t="s">
        <v>39</v>
      </c>
      <c r="B43" s="31" t="s">
        <v>41</v>
      </c>
      <c r="C43" s="31" t="s">
        <v>42</v>
      </c>
      <c r="D43" s="50" t="s">
        <v>42</v>
      </c>
      <c r="E43" s="16" t="s">
        <v>43</v>
      </c>
    </row>
    <row r="44" spans="1:5" ht="17" customHeight="1" x14ac:dyDescent="0.35">
      <c r="A44" s="45" t="s">
        <v>210</v>
      </c>
      <c r="B44" s="72">
        <f>ROUND(B17/B31,0)</f>
        <v>9676</v>
      </c>
      <c r="C44" s="72">
        <f>ROUND(C17/C31,0)</f>
        <v>10487</v>
      </c>
      <c r="D44" s="47">
        <f t="shared" ref="D44" si="8">IFERROR((C44-B44)/B44, "")</f>
        <v>8.3815626291856141E-2</v>
      </c>
      <c r="E44" s="103" t="s">
        <v>212</v>
      </c>
    </row>
    <row r="45" spans="1:5" ht="15.5" x14ac:dyDescent="0.35">
      <c r="A45" s="15"/>
      <c r="B45" s="15"/>
      <c r="C45" s="15"/>
      <c r="D45" s="15"/>
      <c r="E45" s="15"/>
    </row>
    <row r="46" spans="1:5" ht="15.5" x14ac:dyDescent="0.35">
      <c r="A46" s="15"/>
      <c r="B46" s="15"/>
      <c r="C46" s="15"/>
      <c r="D46" s="15"/>
      <c r="E46" s="15"/>
    </row>
    <row r="47" spans="1:5" ht="15.5" x14ac:dyDescent="0.35">
      <c r="A47" s="15"/>
      <c r="B47" s="15"/>
      <c r="C47" s="15"/>
      <c r="D47" s="15"/>
      <c r="E47" s="15"/>
    </row>
    <row r="48" spans="1:5" ht="15.5" x14ac:dyDescent="0.35">
      <c r="A48" s="15"/>
      <c r="B48" s="15"/>
      <c r="C48" s="15"/>
      <c r="D48" s="15"/>
      <c r="E48" s="15"/>
    </row>
    <row r="49" spans="1:5" ht="15.5" x14ac:dyDescent="0.35">
      <c r="A49" s="52"/>
      <c r="B49" s="15"/>
      <c r="C49" s="15"/>
      <c r="D49" s="15"/>
      <c r="E49" s="15"/>
    </row>
    <row r="50" spans="1:5" ht="15.5" x14ac:dyDescent="0.35">
      <c r="A50" s="52"/>
      <c r="B50" s="15"/>
      <c r="C50" s="15"/>
      <c r="D50" s="15"/>
      <c r="E50" s="15"/>
    </row>
  </sheetData>
  <sheetProtection algorithmName="SHA-512" hashValue="FF1tAok3pXzpRkpzEa2o6lftFtXDq+QhVKGHSLrZCf43PQTggEliTQu9YpHHZE8N9wRWIFCxvsWmW2gplVPNaA==" saltValue="100Tih6nUYdb1GxFJWYmhw==" spinCount="100000" sheet="1" objects="1" scenarios="1"/>
  <mergeCells count="9">
    <mergeCell ref="A34:A35"/>
    <mergeCell ref="B34:C34"/>
    <mergeCell ref="E34:E35"/>
    <mergeCell ref="A20:A21"/>
    <mergeCell ref="E5:E6"/>
    <mergeCell ref="B20:C20"/>
    <mergeCell ref="E20:E21"/>
    <mergeCell ref="A5:A6"/>
    <mergeCell ref="B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0D00-9325-459F-AD90-CF057EF6CC29}">
  <sheetPr>
    <tabColor rgb="FF197544"/>
  </sheetPr>
  <dimension ref="A1:J24"/>
  <sheetViews>
    <sheetView showGridLines="0" zoomScale="80" zoomScaleNormal="80" workbookViewId="0"/>
  </sheetViews>
  <sheetFormatPr defaultRowHeight="14" x14ac:dyDescent="0.3"/>
  <cols>
    <col min="1" max="1" width="49.6640625" customWidth="1"/>
    <col min="2" max="2" width="28.6640625" customWidth="1"/>
    <col min="3" max="3" width="27.9140625" customWidth="1"/>
    <col min="4" max="4" width="23.4140625" customWidth="1"/>
    <col min="5" max="5" width="19.4140625" customWidth="1"/>
    <col min="6" max="6" width="73.5" customWidth="1"/>
    <col min="7" max="7" width="20.5" customWidth="1"/>
  </cols>
  <sheetData>
    <row r="1" spans="1:10" s="40" customFormat="1" ht="20" x14ac:dyDescent="0.4">
      <c r="A1" s="40" t="s">
        <v>0</v>
      </c>
      <c r="G1"/>
      <c r="H1"/>
      <c r="I1"/>
      <c r="J1"/>
    </row>
    <row r="2" spans="1:10" s="41" customFormat="1" ht="15.5" x14ac:dyDescent="0.3">
      <c r="A2" s="41" t="s">
        <v>44</v>
      </c>
      <c r="G2"/>
      <c r="H2"/>
      <c r="I2"/>
      <c r="J2"/>
    </row>
    <row r="3" spans="1:10" ht="15.5" x14ac:dyDescent="0.3">
      <c r="A3" s="4"/>
      <c r="B3" s="4"/>
      <c r="C3" s="5"/>
      <c r="D3" s="5"/>
      <c r="E3" s="5"/>
    </row>
    <row r="5" spans="1:10" ht="15.5" x14ac:dyDescent="0.35">
      <c r="A5" s="206" t="s">
        <v>45</v>
      </c>
      <c r="B5" s="208" t="s">
        <v>46</v>
      </c>
      <c r="C5" s="210" t="s">
        <v>27</v>
      </c>
      <c r="D5" s="211"/>
      <c r="E5" s="73" t="s">
        <v>28</v>
      </c>
      <c r="F5" s="204" t="s">
        <v>29</v>
      </c>
    </row>
    <row r="6" spans="1:10" ht="15.5" x14ac:dyDescent="0.35">
      <c r="A6" s="207"/>
      <c r="B6" s="209"/>
      <c r="C6" s="74">
        <v>2022</v>
      </c>
      <c r="D6" s="74">
        <v>2023</v>
      </c>
      <c r="E6" s="74" t="s">
        <v>30</v>
      </c>
      <c r="F6" s="205"/>
    </row>
    <row r="7" spans="1:10" ht="17" customHeight="1" x14ac:dyDescent="0.35">
      <c r="A7" s="16" t="s">
        <v>243</v>
      </c>
      <c r="B7" s="16" t="s">
        <v>172</v>
      </c>
      <c r="C7" s="53">
        <v>112767066992</v>
      </c>
      <c r="D7" s="53">
        <v>117750164162</v>
      </c>
      <c r="E7" s="18">
        <f>IFERROR((D7-C7)/C7, "")</f>
        <v>4.4189294826241371E-2</v>
      </c>
      <c r="F7" s="16" t="s">
        <v>163</v>
      </c>
    </row>
    <row r="8" spans="1:10" ht="17" customHeight="1" x14ac:dyDescent="0.35">
      <c r="A8" s="16" t="s">
        <v>47</v>
      </c>
      <c r="B8" s="16" t="s">
        <v>281</v>
      </c>
      <c r="C8" s="53">
        <f>THCE_ACP!C7</f>
        <v>8037547622.1965199</v>
      </c>
      <c r="D8" s="53">
        <f>THCE_ACP!D7</f>
        <v>10004034336.117399</v>
      </c>
      <c r="E8" s="18">
        <f>IFERROR((D8-C8)/C8, "")</f>
        <v>0.24466252722288359</v>
      </c>
      <c r="F8" s="16"/>
    </row>
    <row r="9" spans="1:10" ht="17" customHeight="1" x14ac:dyDescent="0.35">
      <c r="A9" s="54" t="s">
        <v>40</v>
      </c>
      <c r="B9" s="37"/>
      <c r="C9" s="46">
        <f>SUM(C7:C8)</f>
        <v>120804614614.19652</v>
      </c>
      <c r="D9" s="46">
        <f>SUM(D7:D8)</f>
        <v>127754198498.1174</v>
      </c>
      <c r="E9" s="47">
        <f>IFERROR((D9-C9)/C9, "")</f>
        <v>5.7527470338075919E-2</v>
      </c>
      <c r="F9" s="16"/>
    </row>
    <row r="10" spans="1:10" ht="15.5" x14ac:dyDescent="0.35">
      <c r="A10" s="190"/>
      <c r="B10" s="190"/>
      <c r="C10" s="27"/>
      <c r="D10" s="15"/>
      <c r="E10" s="15"/>
      <c r="F10" s="15"/>
    </row>
    <row r="11" spans="1:10" ht="15.5" x14ac:dyDescent="0.35">
      <c r="A11" s="15"/>
      <c r="B11" s="15"/>
      <c r="C11" s="15"/>
      <c r="D11" s="15"/>
      <c r="E11" s="15"/>
      <c r="F11" s="15"/>
    </row>
    <row r="12" spans="1:10" ht="15.5" x14ac:dyDescent="0.35">
      <c r="A12" s="203" t="s">
        <v>45</v>
      </c>
      <c r="B12" s="203" t="s">
        <v>46</v>
      </c>
      <c r="C12" s="203" t="s">
        <v>160</v>
      </c>
      <c r="D12" s="203"/>
      <c r="E12" s="74" t="s">
        <v>28</v>
      </c>
      <c r="F12" s="203" t="s">
        <v>29</v>
      </c>
    </row>
    <row r="13" spans="1:10" ht="15.5" x14ac:dyDescent="0.35">
      <c r="A13" s="203"/>
      <c r="B13" s="203"/>
      <c r="C13" s="74">
        <v>2022</v>
      </c>
      <c r="D13" s="74">
        <v>2023</v>
      </c>
      <c r="E13" s="74" t="s">
        <v>30</v>
      </c>
      <c r="F13" s="203"/>
    </row>
    <row r="14" spans="1:10" ht="17" customHeight="1" x14ac:dyDescent="0.35">
      <c r="A14" s="54" t="s">
        <v>31</v>
      </c>
      <c r="B14" s="16" t="s">
        <v>172</v>
      </c>
      <c r="C14" s="55">
        <v>17341566</v>
      </c>
      <c r="D14" s="55">
        <v>17243069.333333332</v>
      </c>
      <c r="E14" s="47">
        <f>IFERROR((D14-C14)/C14, "")</f>
        <v>-5.6798023123556382E-3</v>
      </c>
      <c r="F14" s="16"/>
    </row>
    <row r="15" spans="1:10" ht="15.5" x14ac:dyDescent="0.35">
      <c r="A15" s="15"/>
      <c r="B15" s="15"/>
      <c r="C15" s="15"/>
      <c r="D15" s="24"/>
      <c r="E15" s="15"/>
      <c r="F15" s="15"/>
    </row>
    <row r="16" spans="1:10" ht="15.5" x14ac:dyDescent="0.35">
      <c r="A16" s="15"/>
      <c r="B16" s="15"/>
      <c r="C16" s="15"/>
      <c r="D16" s="24"/>
      <c r="E16" s="15"/>
      <c r="F16" s="15"/>
    </row>
    <row r="17" spans="1:6" ht="15.5" x14ac:dyDescent="0.35">
      <c r="A17" s="203" t="s">
        <v>45</v>
      </c>
      <c r="B17" s="203" t="s">
        <v>46</v>
      </c>
      <c r="C17" s="203" t="s">
        <v>161</v>
      </c>
      <c r="D17" s="203"/>
      <c r="E17" s="74" t="s">
        <v>28</v>
      </c>
      <c r="F17" s="203" t="s">
        <v>29</v>
      </c>
    </row>
    <row r="18" spans="1:6" ht="15.5" x14ac:dyDescent="0.35">
      <c r="A18" s="203"/>
      <c r="B18" s="203"/>
      <c r="C18" s="74">
        <v>2022</v>
      </c>
      <c r="D18" s="74">
        <v>2023</v>
      </c>
      <c r="E18" s="74" t="s">
        <v>30</v>
      </c>
      <c r="F18" s="203"/>
    </row>
    <row r="19" spans="1:6" ht="17" customHeight="1" x14ac:dyDescent="0.35">
      <c r="A19" s="16" t="s">
        <v>243</v>
      </c>
      <c r="B19" s="16" t="s">
        <v>172</v>
      </c>
      <c r="C19" s="19">
        <f>ROUND(C7/C14,0)</f>
        <v>6503</v>
      </c>
      <c r="D19" s="19">
        <f>ROUND(D7/D14,0)</f>
        <v>6829</v>
      </c>
      <c r="E19" s="18">
        <f>IFERROR((D19-C19)/C19, "")</f>
        <v>5.0130708903582961E-2</v>
      </c>
      <c r="F19" s="16" t="s">
        <v>163</v>
      </c>
    </row>
    <row r="20" spans="1:6" ht="17" customHeight="1" x14ac:dyDescent="0.35">
      <c r="A20" s="16" t="s">
        <v>47</v>
      </c>
      <c r="B20" s="30" t="s">
        <v>48</v>
      </c>
      <c r="C20" s="19">
        <f>ROUND(C8/C14,0)</f>
        <v>463</v>
      </c>
      <c r="D20" s="19">
        <f>ROUND(D8/D14,0)</f>
        <v>580</v>
      </c>
      <c r="E20" s="18">
        <f>IFERROR((D20-C20)/C20, "")</f>
        <v>0.25269978401727861</v>
      </c>
      <c r="F20" s="16"/>
    </row>
    <row r="21" spans="1:6" ht="17" customHeight="1" x14ac:dyDescent="0.35">
      <c r="A21" s="54" t="s">
        <v>164</v>
      </c>
      <c r="B21" s="37"/>
      <c r="C21" s="46">
        <f>ROUND(C9/C14,0)</f>
        <v>6966</v>
      </c>
      <c r="D21" s="46">
        <f>ROUND(D9/D14,0)</f>
        <v>7409</v>
      </c>
      <c r="E21" s="47">
        <f>IFERROR((D21-C21)/C21, "")</f>
        <v>6.3594602354292276E-2</v>
      </c>
      <c r="F21" s="16" t="s">
        <v>163</v>
      </c>
    </row>
    <row r="23" spans="1:6" x14ac:dyDescent="0.3">
      <c r="C23" s="7"/>
      <c r="D23" s="7"/>
    </row>
    <row r="24" spans="1:6" x14ac:dyDescent="0.3">
      <c r="C24" s="101"/>
      <c r="D24" s="101"/>
    </row>
  </sheetData>
  <sheetProtection algorithmName="SHA-512" hashValue="+EFd3QAI7+kYZLbroTC6lV5absFNK4/7GAToHiOji/+i8ivP2Hy45oa/rcfWdIsy5fiH231Qu/C9xSyzUrdsEQ==" saltValue="xdKGEByPTjPyeSIk3QSH8A==" spinCount="100000" sheet="1" objects="1" scenarios="1"/>
  <mergeCells count="12">
    <mergeCell ref="A17:A18"/>
    <mergeCell ref="B17:B18"/>
    <mergeCell ref="C17:D17"/>
    <mergeCell ref="F17:F18"/>
    <mergeCell ref="F5:F6"/>
    <mergeCell ref="A5:A6"/>
    <mergeCell ref="B5:B6"/>
    <mergeCell ref="C5:D5"/>
    <mergeCell ref="A12:A13"/>
    <mergeCell ref="B12:B13"/>
    <mergeCell ref="C12:D12"/>
    <mergeCell ref="F12:F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11C1-7FF9-4401-BA5E-D55AA7E07CBD}">
  <sheetPr>
    <tabColor rgb="FFA85400"/>
  </sheetPr>
  <dimension ref="A1:L32"/>
  <sheetViews>
    <sheetView showGridLines="0" zoomScale="80" zoomScaleNormal="80" workbookViewId="0"/>
  </sheetViews>
  <sheetFormatPr defaultRowHeight="14" x14ac:dyDescent="0.3"/>
  <cols>
    <col min="1" max="1" width="46.5" customWidth="1"/>
    <col min="2" max="2" width="18.08203125" customWidth="1"/>
    <col min="3" max="5" width="17.4140625" customWidth="1"/>
    <col min="6" max="6" width="50.33203125" customWidth="1"/>
    <col min="9" max="9" width="11.9140625" bestFit="1" customWidth="1"/>
    <col min="12" max="12" width="57.9140625" customWidth="1"/>
    <col min="13" max="13" width="14.08203125" customWidth="1"/>
    <col min="14" max="14" width="12.58203125" customWidth="1"/>
    <col min="15" max="15" width="12.83203125" bestFit="1" customWidth="1"/>
    <col min="16" max="16" width="6.5" customWidth="1"/>
    <col min="17" max="17" width="7" customWidth="1"/>
    <col min="18" max="18" width="33.83203125" customWidth="1"/>
  </cols>
  <sheetData>
    <row r="1" spans="1:12" s="40" customFormat="1" ht="20" x14ac:dyDescent="0.4">
      <c r="A1" s="40" t="s">
        <v>0</v>
      </c>
      <c r="G1"/>
      <c r="H1"/>
      <c r="I1"/>
      <c r="J1"/>
      <c r="K1"/>
    </row>
    <row r="2" spans="1:12" s="41" customFormat="1" ht="15.5" x14ac:dyDescent="0.3">
      <c r="A2" s="41" t="s">
        <v>51</v>
      </c>
      <c r="G2"/>
      <c r="H2"/>
      <c r="I2"/>
      <c r="J2"/>
      <c r="K2"/>
    </row>
    <row r="3" spans="1:12" ht="15.5" x14ac:dyDescent="0.3">
      <c r="A3" s="4"/>
      <c r="B3" s="4"/>
      <c r="D3" s="5"/>
      <c r="E3" s="5"/>
    </row>
    <row r="5" spans="1:12" ht="15.5" x14ac:dyDescent="0.35">
      <c r="A5" s="212" t="s">
        <v>45</v>
      </c>
      <c r="B5" s="212" t="s">
        <v>46</v>
      </c>
      <c r="C5" s="212" t="s">
        <v>27</v>
      </c>
      <c r="D5" s="212"/>
      <c r="E5" s="112" t="s">
        <v>28</v>
      </c>
      <c r="F5" s="212" t="s">
        <v>29</v>
      </c>
    </row>
    <row r="6" spans="1:12" ht="15.5" x14ac:dyDescent="0.35">
      <c r="A6" s="212"/>
      <c r="B6" s="212"/>
      <c r="C6" s="112">
        <v>2022</v>
      </c>
      <c r="D6" s="112">
        <v>2023</v>
      </c>
      <c r="E6" s="112" t="s">
        <v>30</v>
      </c>
      <c r="F6" s="212"/>
    </row>
    <row r="7" spans="1:12" ht="17" customHeight="1" x14ac:dyDescent="0.35">
      <c r="A7" s="16" t="s">
        <v>276</v>
      </c>
      <c r="B7" s="16" t="s">
        <v>52</v>
      </c>
      <c r="C7" s="88">
        <v>74110245040.309998</v>
      </c>
      <c r="D7" s="53">
        <v>68636047564</v>
      </c>
      <c r="E7" s="18">
        <f>IFERROR((D7-C7)/C7, "")</f>
        <v>-7.3865596765096048E-2</v>
      </c>
      <c r="F7" s="53" t="s">
        <v>216</v>
      </c>
      <c r="L7" s="84"/>
    </row>
    <row r="8" spans="1:12" ht="17" customHeight="1" x14ac:dyDescent="0.35">
      <c r="A8" s="16" t="s">
        <v>279</v>
      </c>
      <c r="B8" s="16" t="s">
        <v>53</v>
      </c>
      <c r="C8" s="19">
        <v>41106476733.208481</v>
      </c>
      <c r="D8" s="19">
        <v>48251629474.302101</v>
      </c>
      <c r="E8" s="18">
        <f t="shared" ref="E8:E11" si="0">IFERROR((D8-C8)/C8, "")</f>
        <v>0.17382060708991151</v>
      </c>
      <c r="F8" s="53" t="s">
        <v>216</v>
      </c>
      <c r="L8" s="84"/>
    </row>
    <row r="9" spans="1:12" ht="17" customHeight="1" x14ac:dyDescent="0.35">
      <c r="A9" t="s">
        <v>290</v>
      </c>
      <c r="B9" s="16" t="s">
        <v>53</v>
      </c>
      <c r="C9" s="17">
        <v>4393045464</v>
      </c>
      <c r="D9" s="17">
        <v>8385254049</v>
      </c>
      <c r="E9" s="18">
        <f t="shared" si="0"/>
        <v>0.90875649198607977</v>
      </c>
      <c r="F9" s="53"/>
      <c r="G9" t="s">
        <v>286</v>
      </c>
      <c r="L9" s="84"/>
    </row>
    <row r="10" spans="1:12" ht="17" customHeight="1" x14ac:dyDescent="0.35">
      <c r="A10" s="16" t="s">
        <v>226</v>
      </c>
      <c r="B10" s="16" t="s">
        <v>53</v>
      </c>
      <c r="C10" s="108">
        <v>6283438202.4068899</v>
      </c>
      <c r="D10" s="108">
        <v>8818244838.7465496</v>
      </c>
      <c r="E10" s="18">
        <f>IFERROR((D10-C10)/C10, "")</f>
        <v>0.40341076886356492</v>
      </c>
      <c r="F10" s="54"/>
      <c r="L10" s="84"/>
    </row>
    <row r="11" spans="1:12" ht="17" customHeight="1" x14ac:dyDescent="0.35">
      <c r="A11" s="54" t="s">
        <v>217</v>
      </c>
      <c r="B11" s="16"/>
      <c r="C11" s="46">
        <f>SUM(C7:C10)</f>
        <v>125893205439.92537</v>
      </c>
      <c r="D11" s="46">
        <f>SUM(D7:D10)</f>
        <v>134091175926.04865</v>
      </c>
      <c r="E11" s="47">
        <f t="shared" si="0"/>
        <v>6.5118450654076343E-2</v>
      </c>
      <c r="F11" s="16" t="s">
        <v>216</v>
      </c>
    </row>
    <row r="12" spans="1:12" ht="15.5" x14ac:dyDescent="0.35">
      <c r="A12" s="15"/>
      <c r="B12" s="15"/>
      <c r="C12" s="27" t="s">
        <v>286</v>
      </c>
      <c r="D12" s="24"/>
      <c r="E12" s="15"/>
      <c r="F12" s="15"/>
    </row>
    <row r="13" spans="1:12" ht="15.5" x14ac:dyDescent="0.35">
      <c r="A13" s="15"/>
      <c r="B13" s="15"/>
      <c r="C13" s="15"/>
      <c r="D13" s="24"/>
      <c r="E13" s="15"/>
      <c r="F13" s="15"/>
    </row>
    <row r="14" spans="1:12" ht="15.5" x14ac:dyDescent="0.35">
      <c r="A14" s="213" t="s">
        <v>45</v>
      </c>
      <c r="B14" s="213" t="s">
        <v>46</v>
      </c>
      <c r="C14" s="212" t="s">
        <v>160</v>
      </c>
      <c r="D14" s="212"/>
      <c r="E14" s="111" t="s">
        <v>28</v>
      </c>
      <c r="F14" s="213" t="s">
        <v>29</v>
      </c>
    </row>
    <row r="15" spans="1:12" ht="15.5" x14ac:dyDescent="0.35">
      <c r="A15" s="214"/>
      <c r="B15" s="214"/>
      <c r="C15" s="112">
        <v>2022</v>
      </c>
      <c r="D15" s="112">
        <v>2023</v>
      </c>
      <c r="E15" s="112" t="s">
        <v>30</v>
      </c>
      <c r="F15" s="214"/>
    </row>
    <row r="16" spans="1:12" ht="17" customHeight="1" x14ac:dyDescent="0.35">
      <c r="A16" s="16" t="s">
        <v>277</v>
      </c>
      <c r="B16" s="16" t="s">
        <v>53</v>
      </c>
      <c r="C16" s="32">
        <v>12680362.603333334</v>
      </c>
      <c r="D16" s="32">
        <v>14107540.196666667</v>
      </c>
      <c r="E16" s="18">
        <f>IFERROR((D16-C16)/C16, "")</f>
        <v>0.11255021942023695</v>
      </c>
      <c r="F16" s="16"/>
    </row>
    <row r="17" spans="1:7" ht="17" customHeight="1" x14ac:dyDescent="0.35">
      <c r="A17" s="54" t="s">
        <v>40</v>
      </c>
      <c r="B17" s="16" t="s">
        <v>236</v>
      </c>
      <c r="C17" s="51">
        <v>15090496.75</v>
      </c>
      <c r="D17" s="51">
        <v>15617257</v>
      </c>
      <c r="E17" s="47">
        <f>IFERROR((D17-C17)/C17, "")</f>
        <v>3.4906753483777794E-2</v>
      </c>
      <c r="F17" s="16" t="s">
        <v>280</v>
      </c>
    </row>
    <row r="18" spans="1:7" ht="15.5" x14ac:dyDescent="0.35">
      <c r="A18" s="15"/>
      <c r="B18" s="15"/>
      <c r="C18" s="15"/>
      <c r="D18" s="15"/>
      <c r="E18" s="15"/>
      <c r="F18" s="15"/>
    </row>
    <row r="19" spans="1:7" ht="15.5" x14ac:dyDescent="0.35">
      <c r="A19" s="212" t="s">
        <v>45</v>
      </c>
      <c r="B19" s="212" t="s">
        <v>46</v>
      </c>
      <c r="C19" s="212" t="s">
        <v>161</v>
      </c>
      <c r="D19" s="212"/>
      <c r="E19" s="112" t="s">
        <v>28</v>
      </c>
      <c r="F19" s="212" t="s">
        <v>29</v>
      </c>
    </row>
    <row r="20" spans="1:7" ht="15.5" x14ac:dyDescent="0.35">
      <c r="A20" s="212"/>
      <c r="B20" s="212"/>
      <c r="C20" s="112">
        <v>2022</v>
      </c>
      <c r="D20" s="112">
        <v>2023</v>
      </c>
      <c r="E20" s="112" t="s">
        <v>30</v>
      </c>
      <c r="F20" s="212"/>
    </row>
    <row r="21" spans="1:7" ht="17" customHeight="1" x14ac:dyDescent="0.35">
      <c r="A21" s="16" t="s">
        <v>277</v>
      </c>
      <c r="B21" s="16"/>
      <c r="C21" s="17">
        <f>ROUND(C8/C$16,0)</f>
        <v>3242</v>
      </c>
      <c r="D21" s="17">
        <f>ROUND(D8/D$16,0)</f>
        <v>3420</v>
      </c>
      <c r="E21" s="18">
        <f>IFERROR((D21-C21)/C21, "")</f>
        <v>5.4904380012338064E-2</v>
      </c>
      <c r="F21" s="16" t="s">
        <v>216</v>
      </c>
      <c r="G21" t="s">
        <v>286</v>
      </c>
    </row>
    <row r="22" spans="1:7" ht="17" customHeight="1" x14ac:dyDescent="0.35">
      <c r="A22" s="16" t="s">
        <v>226</v>
      </c>
      <c r="B22" s="16"/>
      <c r="C22" s="19">
        <f>ROUND(ROUND(C10/C$16,0),0)</f>
        <v>496</v>
      </c>
      <c r="D22" s="19">
        <f>ROUND(D10/D$16,0)</f>
        <v>625</v>
      </c>
      <c r="E22" s="18">
        <f t="shared" ref="E22:E25" si="1">IFERROR((D22-C22)/C22, "")</f>
        <v>0.26008064516129031</v>
      </c>
      <c r="F22" s="54"/>
    </row>
    <row r="23" spans="1:7" ht="17" customHeight="1" x14ac:dyDescent="0.35">
      <c r="A23" s="54" t="s">
        <v>238</v>
      </c>
      <c r="B23" s="54"/>
      <c r="C23" s="106">
        <f>ROUND(SUM(C7:C9)/C17,0)</f>
        <v>7926</v>
      </c>
      <c r="D23" s="106">
        <f>ROUND(SUM(D7:D9)/D17,0)</f>
        <v>8021</v>
      </c>
      <c r="E23" s="47">
        <f t="shared" si="1"/>
        <v>1.1985869290941207E-2</v>
      </c>
      <c r="F23" s="54"/>
    </row>
    <row r="24" spans="1:7" ht="17" customHeight="1" x14ac:dyDescent="0.35">
      <c r="A24" s="54" t="s">
        <v>218</v>
      </c>
      <c r="B24" s="54"/>
      <c r="C24" s="106">
        <f>ROUND((C8+C10)/C16,0)</f>
        <v>3737</v>
      </c>
      <c r="D24" s="106">
        <f>ROUND(((D8+D10)/D16),0)</f>
        <v>4045</v>
      </c>
      <c r="E24" s="47">
        <f t="shared" si="1"/>
        <v>8.2419052716082422E-2</v>
      </c>
      <c r="F24" s="16" t="s">
        <v>216</v>
      </c>
    </row>
    <row r="25" spans="1:7" ht="17" customHeight="1" x14ac:dyDescent="0.35">
      <c r="A25" s="54" t="s">
        <v>237</v>
      </c>
      <c r="B25" s="54"/>
      <c r="C25" s="106">
        <f>ROUND(C11/C17,0)</f>
        <v>8343</v>
      </c>
      <c r="D25" s="106">
        <f>ROUND(D11/D17,0)</f>
        <v>8586</v>
      </c>
      <c r="E25" s="47">
        <f t="shared" si="1"/>
        <v>2.9126213592233011E-2</v>
      </c>
      <c r="F25" s="54"/>
    </row>
    <row r="28" spans="1:7" x14ac:dyDescent="0.3">
      <c r="A28" t="s">
        <v>282</v>
      </c>
    </row>
    <row r="32" spans="1:7" x14ac:dyDescent="0.3">
      <c r="A32" s="85"/>
    </row>
  </sheetData>
  <sheetProtection algorithmName="SHA-512" hashValue="fGqzikLp6H5sK1FstP+Er+ouCEMV+Btz2NFO3XEef/2Tn/birOk+ViDaLza5O7Cj+mhqFPXOsAFpkzAdgwg1BQ==" saltValue="CZu9Csumd3aT63GqTekTog==" spinCount="100000" sheet="1" objects="1" scenarios="1"/>
  <mergeCells count="12">
    <mergeCell ref="A19:A20"/>
    <mergeCell ref="B19:B20"/>
    <mergeCell ref="C19:D19"/>
    <mergeCell ref="F19:F20"/>
    <mergeCell ref="F5:F6"/>
    <mergeCell ref="A5:A6"/>
    <mergeCell ref="B5:B6"/>
    <mergeCell ref="C5:D5"/>
    <mergeCell ref="A14:A15"/>
    <mergeCell ref="B14:B15"/>
    <mergeCell ref="C14:D14"/>
    <mergeCell ref="F14:F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55DD-9122-4680-A728-3FDEC3135DC5}">
  <sheetPr>
    <tabColor rgb="FF5333A8"/>
  </sheetPr>
  <dimension ref="A1:J33"/>
  <sheetViews>
    <sheetView showGridLines="0" zoomScale="80" zoomScaleNormal="80" workbookViewId="0"/>
  </sheetViews>
  <sheetFormatPr defaultRowHeight="14" x14ac:dyDescent="0.3"/>
  <cols>
    <col min="1" max="1" width="85.5" customWidth="1"/>
    <col min="2" max="2" width="22.5" bestFit="1" customWidth="1"/>
    <col min="3" max="3" width="19.6640625" customWidth="1"/>
    <col min="4" max="4" width="19.9140625" customWidth="1"/>
    <col min="5" max="5" width="20.33203125" customWidth="1"/>
    <col min="6" max="6" width="62.83203125" customWidth="1"/>
    <col min="7" max="7" width="31.08203125" customWidth="1"/>
  </cols>
  <sheetData>
    <row r="1" spans="1:10" s="40" customFormat="1" ht="20" x14ac:dyDescent="0.4">
      <c r="A1" s="40" t="s">
        <v>0</v>
      </c>
      <c r="G1"/>
      <c r="H1"/>
      <c r="I1"/>
      <c r="J1"/>
    </row>
    <row r="2" spans="1:10" s="41" customFormat="1" ht="15.5" x14ac:dyDescent="0.3">
      <c r="A2" s="41" t="s">
        <v>49</v>
      </c>
      <c r="G2"/>
      <c r="H2"/>
      <c r="I2"/>
      <c r="J2"/>
    </row>
    <row r="3" spans="1:10" ht="15.5" x14ac:dyDescent="0.3">
      <c r="A3" s="4"/>
      <c r="B3" s="4"/>
      <c r="C3" s="5"/>
      <c r="D3" s="5"/>
      <c r="E3" s="5"/>
    </row>
    <row r="5" spans="1:10" x14ac:dyDescent="0.3">
      <c r="A5" s="215" t="s">
        <v>45</v>
      </c>
      <c r="B5" s="220" t="s">
        <v>46</v>
      </c>
      <c r="C5" s="218" t="s">
        <v>27</v>
      </c>
      <c r="D5" s="219"/>
      <c r="E5" s="75" t="s">
        <v>28</v>
      </c>
      <c r="F5" s="216" t="s">
        <v>29</v>
      </c>
    </row>
    <row r="6" spans="1:10" x14ac:dyDescent="0.3">
      <c r="A6" s="215"/>
      <c r="B6" s="221"/>
      <c r="C6" s="76">
        <v>2022</v>
      </c>
      <c r="D6" s="76">
        <v>2023</v>
      </c>
      <c r="E6" s="76" t="s">
        <v>30</v>
      </c>
      <c r="F6" s="217"/>
    </row>
    <row r="7" spans="1:10" ht="17" customHeight="1" x14ac:dyDescent="0.35">
      <c r="A7" s="16" t="s">
        <v>32</v>
      </c>
      <c r="B7" s="16" t="s">
        <v>50</v>
      </c>
      <c r="C7" s="69">
        <v>64655529853</v>
      </c>
      <c r="D7" s="53">
        <v>69045267513</v>
      </c>
      <c r="E7" s="18">
        <f t="shared" ref="E7:E12" si="0">IFERROR((D7-C7)/C7, "")</f>
        <v>6.7894233795321959E-2</v>
      </c>
      <c r="F7" s="16"/>
    </row>
    <row r="8" spans="1:10" ht="17" customHeight="1" x14ac:dyDescent="0.35">
      <c r="A8" s="63" t="s">
        <v>169</v>
      </c>
      <c r="B8" s="16" t="s">
        <v>172</v>
      </c>
      <c r="C8" s="17">
        <v>38835308424</v>
      </c>
      <c r="D8" s="17">
        <v>41345807491</v>
      </c>
      <c r="E8" s="18">
        <f t="shared" si="0"/>
        <v>6.4644756765946679E-2</v>
      </c>
      <c r="F8" s="20" t="s">
        <v>163</v>
      </c>
    </row>
    <row r="9" spans="1:10" ht="16.75" customHeight="1" x14ac:dyDescent="0.35">
      <c r="A9" s="20" t="s">
        <v>270</v>
      </c>
      <c r="B9" s="16" t="s">
        <v>172</v>
      </c>
      <c r="C9" s="53">
        <v>6496154798</v>
      </c>
      <c r="D9" s="53">
        <v>8783707637</v>
      </c>
      <c r="E9" s="18">
        <f t="shared" si="0"/>
        <v>0.35213952101392026</v>
      </c>
      <c r="F9" s="20" t="s">
        <v>163</v>
      </c>
    </row>
    <row r="10" spans="1:10" ht="17" customHeight="1" x14ac:dyDescent="0.35">
      <c r="A10" s="16" t="s">
        <v>225</v>
      </c>
      <c r="B10" s="16" t="s">
        <v>57</v>
      </c>
      <c r="C10" s="53">
        <f>THCE_ACP!C8</f>
        <v>2786468050.3465099</v>
      </c>
      <c r="D10" s="53">
        <f>THCE_ACP!D8</f>
        <v>2254520126.9039602</v>
      </c>
      <c r="E10" s="18">
        <f t="shared" si="0"/>
        <v>-0.19090400960326803</v>
      </c>
      <c r="F10" s="16" t="s">
        <v>173</v>
      </c>
    </row>
    <row r="11" spans="1:10" ht="17" customHeight="1" x14ac:dyDescent="0.35">
      <c r="A11" s="54" t="s">
        <v>213</v>
      </c>
      <c r="B11" s="30"/>
      <c r="C11" s="46">
        <f>SUM(C8:C10)</f>
        <v>48117931272.346512</v>
      </c>
      <c r="D11" s="46">
        <f>SUM(D8:D10)</f>
        <v>52384035254.903961</v>
      </c>
      <c r="E11" s="47">
        <f t="shared" si="0"/>
        <v>8.8659339039564841E-2</v>
      </c>
      <c r="F11" s="54" t="s">
        <v>275</v>
      </c>
    </row>
    <row r="12" spans="1:10" ht="17" customHeight="1" x14ac:dyDescent="0.35">
      <c r="A12" s="54" t="s">
        <v>214</v>
      </c>
      <c r="B12" s="56"/>
      <c r="C12" s="46">
        <f>SUM(C7:C10)</f>
        <v>112773461125.34651</v>
      </c>
      <c r="D12" s="46">
        <f>SUM(D7:D10)</f>
        <v>121429302767.90396</v>
      </c>
      <c r="E12" s="47">
        <f t="shared" si="0"/>
        <v>7.6754243030074012E-2</v>
      </c>
      <c r="F12" s="54" t="s">
        <v>215</v>
      </c>
    </row>
    <row r="13" spans="1:10" ht="15.5" x14ac:dyDescent="0.35">
      <c r="A13" s="15"/>
    </row>
    <row r="14" spans="1:10" ht="15.5" x14ac:dyDescent="0.35">
      <c r="A14" s="222" t="s">
        <v>45</v>
      </c>
      <c r="B14" s="224" t="s">
        <v>46</v>
      </c>
      <c r="C14" s="215" t="s">
        <v>160</v>
      </c>
      <c r="D14" s="215"/>
      <c r="E14" s="77" t="s">
        <v>28</v>
      </c>
      <c r="F14" s="222" t="s">
        <v>29</v>
      </c>
    </row>
    <row r="15" spans="1:10" ht="15.5" x14ac:dyDescent="0.35">
      <c r="A15" s="223"/>
      <c r="B15" s="225"/>
      <c r="C15" s="78">
        <v>2022</v>
      </c>
      <c r="D15" s="78">
        <v>2023</v>
      </c>
      <c r="E15" s="78" t="s">
        <v>30</v>
      </c>
      <c r="F15" s="223"/>
    </row>
    <row r="16" spans="1:10" ht="17" customHeight="1" x14ac:dyDescent="0.35">
      <c r="A16" s="16" t="s">
        <v>32</v>
      </c>
      <c r="B16" s="16" t="s">
        <v>50</v>
      </c>
      <c r="C16" s="32">
        <f>3416586</f>
        <v>3416586</v>
      </c>
      <c r="D16" s="32">
        <f>3401066</f>
        <v>3401066</v>
      </c>
      <c r="E16" s="18">
        <f>IFERROR((D16-C16)/C16, "")</f>
        <v>-4.5425462727998068E-3</v>
      </c>
      <c r="F16" s="16"/>
    </row>
    <row r="17" spans="1:6" ht="17" customHeight="1" x14ac:dyDescent="0.35">
      <c r="A17" s="63" t="s">
        <v>169</v>
      </c>
      <c r="B17" s="16" t="s">
        <v>172</v>
      </c>
      <c r="C17" s="98">
        <v>2565191.9166666665</v>
      </c>
      <c r="D17" s="98">
        <v>2636959</v>
      </c>
      <c r="E17" s="18">
        <f t="shared" ref="E17:E18" si="1">IFERROR((D17-C17)/C17, "")</f>
        <v>2.7977276424054495E-2</v>
      </c>
      <c r="F17" s="20" t="s">
        <v>165</v>
      </c>
    </row>
    <row r="18" spans="1:6" ht="17" customHeight="1" x14ac:dyDescent="0.35">
      <c r="A18" s="20" t="s">
        <v>270</v>
      </c>
      <c r="B18" s="16" t="s">
        <v>172</v>
      </c>
      <c r="C18" s="98">
        <v>325878</v>
      </c>
      <c r="D18" s="98">
        <v>403585.16666666663</v>
      </c>
      <c r="E18" s="18">
        <f t="shared" si="1"/>
        <v>0.2384547796005457</v>
      </c>
      <c r="F18" s="20" t="s">
        <v>165</v>
      </c>
    </row>
    <row r="19" spans="1:6" ht="17" customHeight="1" x14ac:dyDescent="0.35">
      <c r="A19" s="54" t="s">
        <v>213</v>
      </c>
      <c r="B19" s="16"/>
      <c r="C19" s="104">
        <f>SUM(C17:C18)</f>
        <v>2891069.9166666665</v>
      </c>
      <c r="D19" s="104">
        <f>SUM(D17:D18)</f>
        <v>3040544.1666666665</v>
      </c>
      <c r="E19" s="47">
        <f>IFERROR((D19-C19)/C19, "")</f>
        <v>5.1702052979867116E-2</v>
      </c>
      <c r="F19" s="54" t="s">
        <v>275</v>
      </c>
    </row>
    <row r="20" spans="1:6" ht="17" customHeight="1" x14ac:dyDescent="0.35">
      <c r="A20" s="54" t="s">
        <v>214</v>
      </c>
      <c r="B20" s="56"/>
      <c r="C20" s="104">
        <f>SUM(C16:C18)</f>
        <v>6307655.916666666</v>
      </c>
      <c r="D20" s="104">
        <f>SUM(D16:D18)</f>
        <v>6441610.166666667</v>
      </c>
      <c r="E20" s="47">
        <f>IFERROR((D20-C20)/C20, "")</f>
        <v>2.1236771911742166E-2</v>
      </c>
      <c r="F20" s="54" t="s">
        <v>215</v>
      </c>
    </row>
    <row r="21" spans="1:6" ht="15.5" x14ac:dyDescent="0.35">
      <c r="A21" s="15"/>
      <c r="B21" s="15"/>
      <c r="C21" s="15"/>
      <c r="D21" s="24"/>
      <c r="E21" s="15"/>
      <c r="F21" s="15"/>
    </row>
    <row r="22" spans="1:6" ht="15.5" x14ac:dyDescent="0.35">
      <c r="A22" s="215" t="s">
        <v>45</v>
      </c>
      <c r="B22" s="215" t="s">
        <v>46</v>
      </c>
      <c r="C22" s="215" t="s">
        <v>161</v>
      </c>
      <c r="D22" s="215"/>
      <c r="E22" s="78" t="s">
        <v>28</v>
      </c>
      <c r="F22" s="215" t="s">
        <v>29</v>
      </c>
    </row>
    <row r="23" spans="1:6" ht="15.5" x14ac:dyDescent="0.35">
      <c r="A23" s="215"/>
      <c r="B23" s="215"/>
      <c r="C23" s="78">
        <v>2022</v>
      </c>
      <c r="D23" s="78">
        <v>2023</v>
      </c>
      <c r="E23" s="78" t="s">
        <v>30</v>
      </c>
      <c r="F23" s="215"/>
    </row>
    <row r="24" spans="1:6" ht="17.5" customHeight="1" x14ac:dyDescent="0.35">
      <c r="A24" s="16" t="s">
        <v>32</v>
      </c>
      <c r="B24" s="16"/>
      <c r="C24" s="53">
        <f>ROUND(C7/C16,0)</f>
        <v>18924</v>
      </c>
      <c r="D24" s="53">
        <f>ROUND(D7/D16,0)</f>
        <v>20301</v>
      </c>
      <c r="E24" s="18">
        <f>IFERROR((D24-C24)/C24, "")</f>
        <v>7.2764743183259359E-2</v>
      </c>
      <c r="F24" s="16"/>
    </row>
    <row r="25" spans="1:6" ht="17.5" customHeight="1" x14ac:dyDescent="0.35">
      <c r="A25" s="63" t="s">
        <v>169</v>
      </c>
      <c r="B25" s="16"/>
      <c r="C25" s="53">
        <f t="shared" ref="C25:D26" si="2">C8/C17</f>
        <v>15139.338375299601</v>
      </c>
      <c r="D25" s="53">
        <f t="shared" si="2"/>
        <v>15679.351666446084</v>
      </c>
      <c r="E25" s="18">
        <f>IFERROR((D25-C25)/C25, "")</f>
        <v>3.5669543659023729E-2</v>
      </c>
      <c r="F25" s="20" t="s">
        <v>163</v>
      </c>
    </row>
    <row r="26" spans="1:6" ht="17.5" customHeight="1" x14ac:dyDescent="0.35">
      <c r="A26" s="20" t="s">
        <v>270</v>
      </c>
      <c r="B26" s="16"/>
      <c r="C26" s="53">
        <f t="shared" si="2"/>
        <v>19934.315289771017</v>
      </c>
      <c r="D26" s="53">
        <f t="shared" si="2"/>
        <v>21764.198395960211</v>
      </c>
      <c r="E26" s="18">
        <f t="shared" ref="E26:E31" si="3">IFERROR((D26-C26)/C26, "")</f>
        <v>9.1795633789747977E-2</v>
      </c>
      <c r="F26" s="20" t="s">
        <v>163</v>
      </c>
    </row>
    <row r="27" spans="1:6" ht="17.5" customHeight="1" x14ac:dyDescent="0.35">
      <c r="A27" s="16" t="s">
        <v>225</v>
      </c>
      <c r="B27" s="16"/>
      <c r="C27" s="53">
        <f>(C10)/(C17+C18)</f>
        <v>963.81897728687238</v>
      </c>
      <c r="D27" s="53">
        <f>(D10)/(D17+D18)</f>
        <v>741.48573522468496</v>
      </c>
      <c r="E27" s="18">
        <f t="shared" si="3"/>
        <v>-0.23067946087557878</v>
      </c>
      <c r="F27" s="16" t="s">
        <v>173</v>
      </c>
    </row>
    <row r="28" spans="1:6" ht="17.5" customHeight="1" x14ac:dyDescent="0.35">
      <c r="A28" s="54" t="s">
        <v>273</v>
      </c>
      <c r="B28" s="37"/>
      <c r="C28" s="46">
        <f>SUM(C8:C9)/C19</f>
        <v>15679.82253236756</v>
      </c>
      <c r="D28" s="46">
        <f>SUM(D8:D9)/D19</f>
        <v>16487.020868687705</v>
      </c>
      <c r="E28" s="47">
        <f t="shared" si="3"/>
        <v>5.1480068390688805E-2</v>
      </c>
      <c r="F28" s="54" t="s">
        <v>275</v>
      </c>
    </row>
    <row r="29" spans="1:6" ht="17.5" customHeight="1" x14ac:dyDescent="0.35">
      <c r="A29" s="54" t="s">
        <v>274</v>
      </c>
      <c r="B29" s="37"/>
      <c r="C29" s="46">
        <f>SUM(C7:C9)/C20</f>
        <v>17437.062916571322</v>
      </c>
      <c r="D29" s="46">
        <f>SUM(D7:D9)/D20</f>
        <v>18500.775358573002</v>
      </c>
      <c r="E29" s="47">
        <f t="shared" si="3"/>
        <v>6.1002959448565222E-2</v>
      </c>
      <c r="F29" s="54" t="s">
        <v>215</v>
      </c>
    </row>
    <row r="30" spans="1:6" ht="17.5" customHeight="1" x14ac:dyDescent="0.35">
      <c r="A30" s="54" t="s">
        <v>271</v>
      </c>
      <c r="B30" s="37"/>
      <c r="C30" s="46">
        <f>C11/C19</f>
        <v>16643.641509654433</v>
      </c>
      <c r="D30" s="46">
        <f>D11/D19</f>
        <v>17228.506603912392</v>
      </c>
      <c r="E30" s="47">
        <f>IFERROR((D30-C30)/C30, "")</f>
        <v>3.5140452521685094E-2</v>
      </c>
      <c r="F30" s="54" t="s">
        <v>215</v>
      </c>
    </row>
    <row r="31" spans="1:6" ht="17.5" customHeight="1" x14ac:dyDescent="0.35">
      <c r="A31" s="54" t="s">
        <v>272</v>
      </c>
      <c r="B31" s="37"/>
      <c r="C31" s="46">
        <f>C12/C20</f>
        <v>17878.822595152367</v>
      </c>
      <c r="D31" s="46">
        <f>D12/D20</f>
        <v>18850.768616247984</v>
      </c>
      <c r="E31" s="47">
        <f t="shared" si="3"/>
        <v>5.4362976975852344E-2</v>
      </c>
      <c r="F31" s="54" t="s">
        <v>215</v>
      </c>
    </row>
    <row r="33" spans="1:1" x14ac:dyDescent="0.3">
      <c r="A33" s="8"/>
    </row>
  </sheetData>
  <sheetProtection algorithmName="SHA-512" hashValue="UEb61kASRKl/NV1fkLvItLSJETyliBHALlT+aF+U8R3JZhW1ZK5AJFxdAXHJtwqst8zvopfZWik14hATRjqwrg==" saltValue="mlyA//16ssKVhyZxY99w8w==" spinCount="100000" sheet="1" objects="1" scenarios="1"/>
  <mergeCells count="12">
    <mergeCell ref="A22:A23"/>
    <mergeCell ref="B22:B23"/>
    <mergeCell ref="C22:D22"/>
    <mergeCell ref="F22:F23"/>
    <mergeCell ref="F5:F6"/>
    <mergeCell ref="A5:A6"/>
    <mergeCell ref="C5:D5"/>
    <mergeCell ref="B5:B6"/>
    <mergeCell ref="A14:A15"/>
    <mergeCell ref="B14:B15"/>
    <mergeCell ref="C14:D14"/>
    <mergeCell ref="F14:F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95959"/>
  </sheetPr>
  <dimension ref="A1:J28"/>
  <sheetViews>
    <sheetView showGridLines="0" zoomScale="80" zoomScaleNormal="80" workbookViewId="0"/>
  </sheetViews>
  <sheetFormatPr defaultRowHeight="14" x14ac:dyDescent="0.3"/>
  <cols>
    <col min="1" max="1" width="34.5" customWidth="1"/>
    <col min="2" max="2" width="28.08203125" customWidth="1"/>
    <col min="3" max="3" width="19.6640625" customWidth="1"/>
    <col min="4" max="4" width="19.9140625" customWidth="1"/>
    <col min="5" max="5" width="20.5" customWidth="1"/>
    <col min="6" max="6" width="54.6640625" customWidth="1"/>
  </cols>
  <sheetData>
    <row r="1" spans="1:10" s="40" customFormat="1" ht="20" x14ac:dyDescent="0.4">
      <c r="A1" s="40" t="s">
        <v>0</v>
      </c>
      <c r="G1"/>
      <c r="H1"/>
      <c r="I1"/>
      <c r="J1"/>
    </row>
    <row r="2" spans="1:10" s="41" customFormat="1" ht="15.5" x14ac:dyDescent="0.3">
      <c r="A2" s="41" t="s">
        <v>224</v>
      </c>
      <c r="G2"/>
      <c r="H2"/>
      <c r="I2"/>
      <c r="J2"/>
    </row>
    <row r="3" spans="1:10" s="40" customFormat="1" ht="15.75" customHeight="1" x14ac:dyDescent="0.4">
      <c r="A3" s="41" t="s">
        <v>54</v>
      </c>
      <c r="G3"/>
      <c r="H3"/>
      <c r="I3"/>
      <c r="J3"/>
    </row>
    <row r="5" spans="1:10" ht="31.25" customHeight="1" x14ac:dyDescent="0.35">
      <c r="A5" s="231" t="s">
        <v>55</v>
      </c>
      <c r="B5" s="233" t="s">
        <v>46</v>
      </c>
      <c r="C5" s="232" t="s">
        <v>278</v>
      </c>
      <c r="D5" s="232"/>
      <c r="E5" s="188" t="s">
        <v>28</v>
      </c>
      <c r="F5" s="233" t="s">
        <v>29</v>
      </c>
    </row>
    <row r="6" spans="1:10" ht="15.5" x14ac:dyDescent="0.35">
      <c r="A6" s="231"/>
      <c r="B6" s="234"/>
      <c r="C6" s="80">
        <v>2022</v>
      </c>
      <c r="D6" s="80">
        <v>2023</v>
      </c>
      <c r="E6" s="80" t="s">
        <v>30</v>
      </c>
      <c r="F6" s="234"/>
    </row>
    <row r="7" spans="1:10" ht="15.5" x14ac:dyDescent="0.35">
      <c r="A7" s="16" t="s">
        <v>283</v>
      </c>
      <c r="B7" s="16" t="s">
        <v>281</v>
      </c>
      <c r="C7" s="17">
        <v>8037547622.1965199</v>
      </c>
      <c r="D7" s="17">
        <v>10004034336.117399</v>
      </c>
      <c r="E7" s="18">
        <f>IFERROR((D7-C7)/C7, "")</f>
        <v>0.24466252722288359</v>
      </c>
      <c r="F7" s="189" t="s">
        <v>209</v>
      </c>
    </row>
    <row r="8" spans="1:10" ht="15.5" x14ac:dyDescent="0.35">
      <c r="A8" s="20" t="s">
        <v>33</v>
      </c>
      <c r="B8" s="16" t="s">
        <v>57</v>
      </c>
      <c r="C8" s="88">
        <v>2786468050.3465099</v>
      </c>
      <c r="D8" s="88">
        <v>2254520126.9039602</v>
      </c>
      <c r="E8" s="18">
        <f>IFERROR((D8-C8)/C8, "")</f>
        <v>-0.19090400960326803</v>
      </c>
      <c r="F8" s="16" t="s">
        <v>58</v>
      </c>
    </row>
    <row r="9" spans="1:10" ht="15.5" x14ac:dyDescent="0.35">
      <c r="A9" s="20" t="s">
        <v>34</v>
      </c>
      <c r="B9" s="16" t="s">
        <v>53</v>
      </c>
      <c r="C9" s="108">
        <v>6283438202.4068899</v>
      </c>
      <c r="D9" s="108">
        <v>8818244838.7465496</v>
      </c>
      <c r="E9" s="18">
        <f>IFERROR((D9-C9)/C9, "")</f>
        <v>0.40341076886356492</v>
      </c>
      <c r="F9" s="57" t="s">
        <v>59</v>
      </c>
    </row>
    <row r="10" spans="1:10" ht="15.5" x14ac:dyDescent="0.35">
      <c r="A10" s="15"/>
      <c r="B10" s="15"/>
      <c r="C10" s="27"/>
      <c r="D10" s="27"/>
      <c r="E10" s="48"/>
      <c r="F10" s="15"/>
    </row>
    <row r="11" spans="1:10" ht="15.5" x14ac:dyDescent="0.35">
      <c r="A11" s="15"/>
      <c r="B11" s="15"/>
      <c r="C11" s="15"/>
      <c r="D11" s="15"/>
      <c r="E11" s="15"/>
      <c r="F11" s="15"/>
    </row>
    <row r="12" spans="1:10" ht="15.5" x14ac:dyDescent="0.35">
      <c r="A12" s="226" t="s">
        <v>45</v>
      </c>
      <c r="B12" s="227" t="s">
        <v>46</v>
      </c>
      <c r="C12" s="226" t="s">
        <v>160</v>
      </c>
      <c r="D12" s="226"/>
      <c r="E12" s="79" t="s">
        <v>28</v>
      </c>
      <c r="F12" s="227" t="s">
        <v>29</v>
      </c>
    </row>
    <row r="13" spans="1:10" ht="15.5" x14ac:dyDescent="0.35">
      <c r="A13" s="226"/>
      <c r="B13" s="228"/>
      <c r="C13" s="80">
        <v>2022</v>
      </c>
      <c r="D13" s="80">
        <v>2023</v>
      </c>
      <c r="E13" s="80" t="s">
        <v>30</v>
      </c>
      <c r="F13" s="228"/>
    </row>
    <row r="14" spans="1:10" ht="15.5" x14ac:dyDescent="0.35">
      <c r="A14" s="16" t="s">
        <v>31</v>
      </c>
      <c r="B14" s="16" t="s">
        <v>172</v>
      </c>
      <c r="C14" s="32">
        <f>THCE_Comm!C14</f>
        <v>17341566</v>
      </c>
      <c r="D14" s="32">
        <f>THCE_Comm!D14</f>
        <v>17243069.333333332</v>
      </c>
      <c r="E14" s="18">
        <f>IFERROR((D14-C14)/C14, "")</f>
        <v>-5.6798023123556382E-3</v>
      </c>
      <c r="F14" s="16"/>
    </row>
    <row r="15" spans="1:10" ht="15.5" x14ac:dyDescent="0.35">
      <c r="A15" s="20" t="s">
        <v>33</v>
      </c>
      <c r="B15" s="16" t="s">
        <v>172</v>
      </c>
      <c r="C15" s="32">
        <f>THCE_Mcare!C19</f>
        <v>2891069.9166666665</v>
      </c>
      <c r="D15" s="32">
        <f>THCE_Mcare!D19</f>
        <v>3040544.1666666665</v>
      </c>
      <c r="E15" s="18">
        <f>IFERROR((D15-C15)/C15, "")</f>
        <v>5.1702052979867116E-2</v>
      </c>
      <c r="F15" s="16" t="s">
        <v>275</v>
      </c>
    </row>
    <row r="16" spans="1:10" ht="15.5" x14ac:dyDescent="0.35">
      <c r="A16" s="20" t="s">
        <v>34</v>
      </c>
      <c r="B16" s="16" t="s">
        <v>53</v>
      </c>
      <c r="C16" s="98">
        <f>THCE_MCal!C16</f>
        <v>12680362.603333334</v>
      </c>
      <c r="D16" s="98">
        <f>THCE_MCal!D16</f>
        <v>14107540.196666667</v>
      </c>
      <c r="E16" s="18">
        <f>IFERROR((D16-C16)/C16, "")</f>
        <v>0.11255021942023695</v>
      </c>
      <c r="F16" s="16"/>
    </row>
    <row r="17" spans="1:6" ht="15.5" x14ac:dyDescent="0.35">
      <c r="A17" s="15"/>
      <c r="B17" s="15"/>
      <c r="C17" s="15"/>
      <c r="D17" s="15"/>
      <c r="E17" s="15"/>
      <c r="F17" s="15"/>
    </row>
    <row r="18" spans="1:6" ht="15.5" x14ac:dyDescent="0.35">
      <c r="A18" s="15"/>
      <c r="B18" s="15"/>
      <c r="C18" s="15"/>
      <c r="D18" s="15"/>
      <c r="E18" s="15"/>
      <c r="F18" s="15"/>
    </row>
    <row r="19" spans="1:6" ht="15.5" x14ac:dyDescent="0.35">
      <c r="A19" s="226" t="s">
        <v>45</v>
      </c>
      <c r="B19" s="227" t="s">
        <v>46</v>
      </c>
      <c r="C19" s="229" t="s">
        <v>161</v>
      </c>
      <c r="D19" s="230"/>
      <c r="E19" s="79" t="s">
        <v>28</v>
      </c>
      <c r="F19" s="227" t="s">
        <v>29</v>
      </c>
    </row>
    <row r="20" spans="1:6" ht="15.5" x14ac:dyDescent="0.35">
      <c r="A20" s="226"/>
      <c r="B20" s="228"/>
      <c r="C20" s="80">
        <v>2022</v>
      </c>
      <c r="D20" s="80">
        <v>2023</v>
      </c>
      <c r="E20" s="80" t="s">
        <v>30</v>
      </c>
      <c r="F20" s="228"/>
    </row>
    <row r="21" spans="1:6" ht="15.5" x14ac:dyDescent="0.35">
      <c r="A21" s="16" t="s">
        <v>31</v>
      </c>
      <c r="B21" s="16"/>
      <c r="C21" s="62">
        <f>(C7)/C14</f>
        <v>463.48453318440329</v>
      </c>
      <c r="D21" s="62">
        <f>(D7)/D14</f>
        <v>580.17712175976476</v>
      </c>
      <c r="E21" s="18">
        <f>IFERROR((D21-C21)/C21, "")</f>
        <v>0.25177234669216852</v>
      </c>
      <c r="F21" s="16"/>
    </row>
    <row r="22" spans="1:6" ht="15.5" x14ac:dyDescent="0.35">
      <c r="A22" s="20" t="s">
        <v>33</v>
      </c>
      <c r="B22" s="16"/>
      <c r="C22" s="19">
        <f>C8/C15</f>
        <v>963.81897728687238</v>
      </c>
      <c r="D22" s="19">
        <f>D8/D15</f>
        <v>741.48573522468496</v>
      </c>
      <c r="E22" s="18">
        <f>IFERROR((D22-C22)/C22, "")</f>
        <v>-0.23067946087557878</v>
      </c>
      <c r="F22" s="16"/>
    </row>
    <row r="23" spans="1:6" ht="15.5" x14ac:dyDescent="0.35">
      <c r="A23" s="20" t="s">
        <v>34</v>
      </c>
      <c r="B23" s="16"/>
      <c r="C23" s="19">
        <f>C9/C16</f>
        <v>495.5251201377427</v>
      </c>
      <c r="D23" s="19">
        <f>D9/D16</f>
        <v>625.07316766888437</v>
      </c>
      <c r="E23" s="18">
        <f>IFERROR((D23-C23)/C23, "")</f>
        <v>0.26143588340209833</v>
      </c>
      <c r="F23" s="16"/>
    </row>
    <row r="25" spans="1:6" ht="18" customHeight="1" x14ac:dyDescent="0.3">
      <c r="A25" s="173" t="s">
        <v>269</v>
      </c>
    </row>
    <row r="28" spans="1:6" x14ac:dyDescent="0.3">
      <c r="A28" s="6"/>
    </row>
  </sheetData>
  <sheetProtection algorithmName="SHA-512" hashValue="nYAXZLh5HoHz4ewCMfbURsGmXAfT6XJTHRZ0hLbwcfOtL0vH5mqqqfFDnOB46WgZaT2cnfmJ65uC0c4NeG5MIw==" saltValue="qUZ+5OfbgGZbXqXQwS2BVQ==" spinCount="100000" sheet="1" objects="1" scenarios="1"/>
  <mergeCells count="12">
    <mergeCell ref="A19:A20"/>
    <mergeCell ref="B19:B20"/>
    <mergeCell ref="C19:D19"/>
    <mergeCell ref="F19:F20"/>
    <mergeCell ref="A5:A6"/>
    <mergeCell ref="C5:D5"/>
    <mergeCell ref="F5:F6"/>
    <mergeCell ref="A12:A13"/>
    <mergeCell ref="C12:D12"/>
    <mergeCell ref="F12:F13"/>
    <mergeCell ref="B5:B6"/>
    <mergeCell ref="B12:B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95959"/>
  </sheetPr>
  <dimension ref="A1:J26"/>
  <sheetViews>
    <sheetView showGridLines="0" zoomScale="80" zoomScaleNormal="80" workbookViewId="0"/>
  </sheetViews>
  <sheetFormatPr defaultColWidth="8.6640625" defaultRowHeight="15.5" x14ac:dyDescent="0.35"/>
  <cols>
    <col min="1" max="1" width="56.08203125" style="15" customWidth="1"/>
    <col min="2" max="2" width="15.6640625" style="15" customWidth="1"/>
    <col min="3" max="3" width="19.6640625" style="15" customWidth="1"/>
    <col min="4" max="4" width="19.9140625" style="15" customWidth="1"/>
    <col min="5" max="5" width="18.6640625" style="15" customWidth="1"/>
    <col min="6" max="6" width="32.6640625" style="15" customWidth="1"/>
    <col min="11" max="16384" width="8.6640625" style="15"/>
  </cols>
  <sheetData>
    <row r="1" spans="1:10" s="39" customFormat="1" ht="20" x14ac:dyDescent="0.4">
      <c r="A1" s="40" t="s">
        <v>0</v>
      </c>
      <c r="B1" s="38"/>
      <c r="C1" s="38"/>
      <c r="D1" s="38"/>
      <c r="E1" s="38"/>
      <c r="G1"/>
      <c r="H1"/>
      <c r="I1"/>
      <c r="J1"/>
    </row>
    <row r="2" spans="1:10" x14ac:dyDescent="0.35">
      <c r="A2" s="41" t="s">
        <v>60</v>
      </c>
      <c r="B2" s="13"/>
      <c r="C2" s="21"/>
      <c r="D2" s="21"/>
      <c r="E2" s="21"/>
    </row>
    <row r="3" spans="1:10" ht="15.75" customHeight="1" x14ac:dyDescent="0.35">
      <c r="A3" s="22"/>
      <c r="B3" s="22"/>
      <c r="C3" s="23"/>
      <c r="D3" s="23"/>
      <c r="E3" s="23"/>
    </row>
    <row r="5" spans="1:10" x14ac:dyDescent="0.35">
      <c r="A5" s="235" t="s">
        <v>61</v>
      </c>
      <c r="B5" s="236" t="s">
        <v>46</v>
      </c>
      <c r="C5" s="235" t="s">
        <v>27</v>
      </c>
      <c r="D5" s="235"/>
      <c r="E5" s="114" t="s">
        <v>28</v>
      </c>
      <c r="F5" s="236" t="s">
        <v>29</v>
      </c>
    </row>
    <row r="6" spans="1:10" x14ac:dyDescent="0.35">
      <c r="A6" s="235"/>
      <c r="B6" s="237"/>
      <c r="C6" s="113">
        <v>2022</v>
      </c>
      <c r="D6" s="113">
        <v>2023</v>
      </c>
      <c r="E6" s="113" t="s">
        <v>30</v>
      </c>
      <c r="F6" s="237"/>
    </row>
    <row r="7" spans="1:10" x14ac:dyDescent="0.35">
      <c r="A7" s="16" t="s">
        <v>36</v>
      </c>
      <c r="B7" s="30" t="s">
        <v>62</v>
      </c>
      <c r="C7" s="31">
        <f>9336465.7211988*1000</f>
        <v>9336465721.1987991</v>
      </c>
      <c r="D7" s="31">
        <f>9629136.69905138*1000</f>
        <v>9629136699.0513802</v>
      </c>
      <c r="E7" s="18">
        <f>IFERROR((D7-C7)/C7, "")</f>
        <v>3.1347084281374317E-2</v>
      </c>
      <c r="F7" s="16"/>
    </row>
    <row r="8" spans="1:10" x14ac:dyDescent="0.35">
      <c r="A8" s="16" t="s">
        <v>37</v>
      </c>
      <c r="B8" s="30" t="s">
        <v>63</v>
      </c>
      <c r="C8" s="31">
        <v>538955668</v>
      </c>
      <c r="D8" s="31">
        <v>547490122</v>
      </c>
      <c r="E8" s="18">
        <f>IFERROR((D8-C8)/C8, "")</f>
        <v>1.5835168839897978E-2</v>
      </c>
      <c r="F8" s="16"/>
    </row>
    <row r="9" spans="1:10" x14ac:dyDescent="0.35">
      <c r="A9" s="16" t="s">
        <v>38</v>
      </c>
      <c r="B9" s="30" t="s">
        <v>64</v>
      </c>
      <c r="C9" s="31">
        <v>268076000</v>
      </c>
      <c r="D9" s="31">
        <v>256395000</v>
      </c>
      <c r="E9" s="18">
        <f>IFERROR((D9-C9)/C9, "")</f>
        <v>-4.3573464241483756E-2</v>
      </c>
      <c r="F9" s="16"/>
    </row>
    <row r="10" spans="1:10" x14ac:dyDescent="0.35">
      <c r="A10" s="16" t="s">
        <v>288</v>
      </c>
      <c r="B10" s="30" t="s">
        <v>65</v>
      </c>
      <c r="C10" s="31">
        <v>8024153634</v>
      </c>
      <c r="D10" s="31">
        <v>14921283574</v>
      </c>
      <c r="E10" s="18">
        <f>IFERROR((D10-C10)/C10, "")</f>
        <v>0.85954609727005138</v>
      </c>
      <c r="F10" s="16" t="s">
        <v>66</v>
      </c>
    </row>
    <row r="11" spans="1:10" x14ac:dyDescent="0.35">
      <c r="A11" s="54" t="s">
        <v>40</v>
      </c>
      <c r="B11" s="105"/>
      <c r="C11" s="107">
        <f>SUM(C7:C10)</f>
        <v>18167651023.198799</v>
      </c>
      <c r="D11" s="107">
        <f>SUM(D7:D10)</f>
        <v>25354305395.05138</v>
      </c>
      <c r="E11" s="47">
        <f>IFERROR((D11-C11)/C11, "")</f>
        <v>0.39557421940105159</v>
      </c>
      <c r="F11" s="54"/>
    </row>
    <row r="12" spans="1:10" x14ac:dyDescent="0.35">
      <c r="D12" s="24"/>
    </row>
    <row r="13" spans="1:10" x14ac:dyDescent="0.35">
      <c r="A13" s="235" t="s">
        <v>45</v>
      </c>
      <c r="B13" s="236" t="s">
        <v>46</v>
      </c>
      <c r="C13" s="235" t="s">
        <v>160</v>
      </c>
      <c r="D13" s="235"/>
      <c r="E13" s="114" t="s">
        <v>28</v>
      </c>
      <c r="F13" s="236" t="s">
        <v>29</v>
      </c>
    </row>
    <row r="14" spans="1:10" x14ac:dyDescent="0.35">
      <c r="A14" s="235"/>
      <c r="B14" s="237"/>
      <c r="C14" s="113">
        <v>2022</v>
      </c>
      <c r="D14" s="113">
        <v>2023</v>
      </c>
      <c r="E14" s="113" t="s">
        <v>30</v>
      </c>
      <c r="F14" s="237"/>
    </row>
    <row r="15" spans="1:10" x14ac:dyDescent="0.35">
      <c r="A15" s="16" t="s">
        <v>36</v>
      </c>
      <c r="B15" s="30" t="s">
        <v>62</v>
      </c>
      <c r="C15" s="49">
        <f>457283</f>
        <v>457283</v>
      </c>
      <c r="D15" s="32">
        <f>453584</f>
        <v>453584</v>
      </c>
      <c r="E15" s="18">
        <f>IFERROR((D15-C15)/C15, "")</f>
        <v>-8.0890826905876661E-3</v>
      </c>
      <c r="F15" s="16" t="s">
        <v>67</v>
      </c>
    </row>
    <row r="16" spans="1:10" x14ac:dyDescent="0.35">
      <c r="A16" s="16" t="s">
        <v>37</v>
      </c>
      <c r="B16" s="30" t="s">
        <v>63</v>
      </c>
      <c r="C16" s="49">
        <f>(96610)</f>
        <v>96610</v>
      </c>
      <c r="D16" s="32">
        <v>95720.333333333328</v>
      </c>
      <c r="E16" s="18">
        <f>IFERROR((D16-C16)/C16, "")</f>
        <v>-9.2088465652279423E-3</v>
      </c>
      <c r="F16" s="16"/>
    </row>
    <row r="17" spans="1:6" x14ac:dyDescent="0.35">
      <c r="A17" s="16" t="s">
        <v>38</v>
      </c>
      <c r="B17" s="30" t="s">
        <v>64</v>
      </c>
      <c r="C17" s="64" t="s">
        <v>42</v>
      </c>
      <c r="D17" s="64" t="s">
        <v>42</v>
      </c>
      <c r="E17" s="64" t="s">
        <v>42</v>
      </c>
      <c r="F17" s="16" t="s">
        <v>43</v>
      </c>
    </row>
    <row r="18" spans="1:6" x14ac:dyDescent="0.35">
      <c r="A18" s="16" t="s">
        <v>288</v>
      </c>
      <c r="B18" s="30" t="s">
        <v>65</v>
      </c>
      <c r="C18" s="64" t="s">
        <v>42</v>
      </c>
      <c r="D18" s="64" t="s">
        <v>42</v>
      </c>
      <c r="E18" s="64" t="s">
        <v>42</v>
      </c>
      <c r="F18" s="16" t="s">
        <v>43</v>
      </c>
    </row>
    <row r="19" spans="1:6" x14ac:dyDescent="0.35">
      <c r="B19" s="34"/>
      <c r="C19"/>
      <c r="D19"/>
      <c r="E19"/>
    </row>
    <row r="20" spans="1:6" x14ac:dyDescent="0.35">
      <c r="B20" s="34"/>
      <c r="C20" s="35"/>
      <c r="D20" s="35"/>
      <c r="E20" s="36"/>
    </row>
    <row r="21" spans="1:6" x14ac:dyDescent="0.35">
      <c r="A21" s="235" t="s">
        <v>45</v>
      </c>
      <c r="B21" s="236" t="s">
        <v>46</v>
      </c>
      <c r="C21" s="235" t="s">
        <v>161</v>
      </c>
      <c r="D21" s="235"/>
      <c r="E21" s="114" t="s">
        <v>28</v>
      </c>
      <c r="F21" s="236" t="s">
        <v>29</v>
      </c>
    </row>
    <row r="22" spans="1:6" x14ac:dyDescent="0.35">
      <c r="A22" s="235"/>
      <c r="B22" s="237"/>
      <c r="C22" s="113">
        <v>2022</v>
      </c>
      <c r="D22" s="113">
        <v>2023</v>
      </c>
      <c r="E22" s="113" t="s">
        <v>30</v>
      </c>
      <c r="F22" s="237"/>
    </row>
    <row r="23" spans="1:6" x14ac:dyDescent="0.35">
      <c r="A23" s="16" t="s">
        <v>36</v>
      </c>
      <c r="B23" s="61" t="s">
        <v>62</v>
      </c>
      <c r="C23" s="19">
        <f>ROUND(C7/C15,0)</f>
        <v>20417</v>
      </c>
      <c r="D23" s="19">
        <f>ROUND(D7/D15,0)</f>
        <v>21229</v>
      </c>
      <c r="E23" s="18">
        <f>IFERROR((D23-C23)/C23, "")</f>
        <v>3.9770779252583634E-2</v>
      </c>
      <c r="F23" s="16"/>
    </row>
    <row r="24" spans="1:6" x14ac:dyDescent="0.35">
      <c r="A24" s="16" t="s">
        <v>37</v>
      </c>
      <c r="B24" s="61" t="s">
        <v>63</v>
      </c>
      <c r="C24" s="19">
        <f>ROUND(C8/C16,0)</f>
        <v>5579</v>
      </c>
      <c r="D24" s="19">
        <f>ROUND(D8/D16,0)</f>
        <v>5720</v>
      </c>
      <c r="E24" s="18">
        <f>IFERROR((D24-C24)/C24, "")</f>
        <v>2.5273346477863418E-2</v>
      </c>
      <c r="F24" s="16"/>
    </row>
    <row r="25" spans="1:6" x14ac:dyDescent="0.35">
      <c r="A25" s="16" t="s">
        <v>38</v>
      </c>
      <c r="B25" s="61" t="s">
        <v>64</v>
      </c>
      <c r="C25" s="64" t="s">
        <v>42</v>
      </c>
      <c r="D25" s="64" t="s">
        <v>42</v>
      </c>
      <c r="E25" s="64" t="s">
        <v>42</v>
      </c>
      <c r="F25" s="16" t="s">
        <v>43</v>
      </c>
    </row>
    <row r="26" spans="1:6" x14ac:dyDescent="0.35">
      <c r="A26" s="16" t="s">
        <v>288</v>
      </c>
      <c r="B26" s="61" t="s">
        <v>65</v>
      </c>
      <c r="C26" s="64" t="s">
        <v>42</v>
      </c>
      <c r="D26" s="64" t="s">
        <v>42</v>
      </c>
      <c r="E26" s="64" t="s">
        <v>42</v>
      </c>
      <c r="F26" s="16" t="s">
        <v>43</v>
      </c>
    </row>
  </sheetData>
  <sheetProtection algorithmName="SHA-512" hashValue="Q8cCKqhlIoSEcUPPYXHellKEE93cWbWEn22BbvZ0M/pFYeIEWgXCUEZIyRRyCI2XaBJ+8MipqZwx3BJ5JgD4og==" saltValue="xKHicqhmwmf+XmeFjeyjEg==" spinCount="100000" sheet="1" objects="1" scenarios="1"/>
  <mergeCells count="12">
    <mergeCell ref="A21:A22"/>
    <mergeCell ref="B21:B22"/>
    <mergeCell ref="C21:D21"/>
    <mergeCell ref="F21:F22"/>
    <mergeCell ref="F5:F6"/>
    <mergeCell ref="F13:F14"/>
    <mergeCell ref="A13:A14"/>
    <mergeCell ref="B13:B14"/>
    <mergeCell ref="C13:D13"/>
    <mergeCell ref="A5:A6"/>
    <mergeCell ref="B5:B6"/>
    <mergeCell ref="C5:D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DB03-06ED-4D49-95CF-C3BCABD3023D}">
  <sheetPr>
    <tabColor rgb="FF004891"/>
  </sheetPr>
  <dimension ref="A1:L51"/>
  <sheetViews>
    <sheetView showGridLines="0" zoomScale="80" zoomScaleNormal="80" workbookViewId="0"/>
  </sheetViews>
  <sheetFormatPr defaultColWidth="8.6640625" defaultRowHeight="15.5" x14ac:dyDescent="0.35"/>
  <cols>
    <col min="1" max="1" width="66.08203125" style="15" customWidth="1"/>
    <col min="2" max="2" width="19.4140625" style="15" customWidth="1"/>
    <col min="3" max="3" width="23.9140625" style="15" customWidth="1"/>
    <col min="4" max="4" width="28.08203125" style="15" customWidth="1"/>
    <col min="5" max="5" width="31.08203125" style="15" customWidth="1"/>
    <col min="6" max="6" width="8.6640625" customWidth="1"/>
    <col min="7" max="7" width="19.4140625" customWidth="1"/>
    <col min="8" max="8" width="19.6640625" customWidth="1"/>
    <col min="9" max="9" width="19.9140625" customWidth="1"/>
    <col min="10" max="10" width="16.4140625" customWidth="1"/>
    <col min="11" max="11" width="20.6640625" customWidth="1"/>
    <col min="13" max="16384" width="8.6640625" style="15"/>
  </cols>
  <sheetData>
    <row r="1" spans="1:12" s="40" customFormat="1" ht="20" x14ac:dyDescent="0.4">
      <c r="A1" s="40" t="s">
        <v>0</v>
      </c>
      <c r="F1"/>
      <c r="G1"/>
      <c r="H1"/>
      <c r="I1"/>
      <c r="J1"/>
      <c r="K1"/>
      <c r="L1"/>
    </row>
    <row r="2" spans="1:12" s="41" customFormat="1" x14ac:dyDescent="0.3">
      <c r="A2" s="41" t="s">
        <v>68</v>
      </c>
      <c r="F2"/>
      <c r="G2"/>
      <c r="H2"/>
      <c r="I2"/>
      <c r="J2"/>
      <c r="K2"/>
      <c r="L2"/>
    </row>
    <row r="3" spans="1:12" s="40" customFormat="1" ht="20" x14ac:dyDescent="0.4">
      <c r="A3" s="42" t="s">
        <v>69</v>
      </c>
      <c r="F3"/>
      <c r="G3"/>
      <c r="H3"/>
      <c r="I3"/>
      <c r="J3"/>
      <c r="K3"/>
      <c r="L3"/>
    </row>
    <row r="4" spans="1:12" x14ac:dyDescent="0.35">
      <c r="A4" s="22"/>
      <c r="B4" s="23"/>
      <c r="C4" s="23"/>
      <c r="D4" s="23"/>
    </row>
    <row r="5" spans="1:12" x14ac:dyDescent="0.35">
      <c r="A5" s="42" t="s">
        <v>70</v>
      </c>
    </row>
    <row r="6" spans="1:12" x14ac:dyDescent="0.35">
      <c r="A6" s="198" t="s">
        <v>71</v>
      </c>
      <c r="B6" s="198" t="s">
        <v>27</v>
      </c>
      <c r="C6" s="198"/>
      <c r="D6" s="67" t="s">
        <v>28</v>
      </c>
      <c r="E6" s="201" t="s">
        <v>29</v>
      </c>
    </row>
    <row r="7" spans="1:12" x14ac:dyDescent="0.35">
      <c r="A7" s="201"/>
      <c r="B7" s="125">
        <v>2022</v>
      </c>
      <c r="C7" s="125">
        <v>2023</v>
      </c>
      <c r="D7" s="125" t="s">
        <v>30</v>
      </c>
      <c r="E7" s="238"/>
    </row>
    <row r="8" spans="1:12" ht="17" customHeight="1" x14ac:dyDescent="0.35">
      <c r="A8" s="16" t="s">
        <v>72</v>
      </c>
      <c r="B8" s="53">
        <v>45925232945</v>
      </c>
      <c r="C8" s="53">
        <v>47031102288</v>
      </c>
      <c r="D8" s="174">
        <f t="shared" ref="D8:D23" si="0">IFERROR((C8-B8)/B8, "")</f>
        <v>2.4079776455884019E-2</v>
      </c>
      <c r="E8" s="16"/>
    </row>
    <row r="9" spans="1:12" ht="17" customHeight="1" x14ac:dyDescent="0.35">
      <c r="A9" s="16" t="s">
        <v>73</v>
      </c>
      <c r="B9" s="53">
        <v>34475424518</v>
      </c>
      <c r="C9" s="53">
        <v>36758984020</v>
      </c>
      <c r="D9" s="174">
        <f t="shared" si="0"/>
        <v>6.6237313504514742E-2</v>
      </c>
      <c r="E9" s="16"/>
    </row>
    <row r="10" spans="1:12" ht="17" customHeight="1" x14ac:dyDescent="0.35">
      <c r="A10" s="16" t="s">
        <v>74</v>
      </c>
      <c r="B10" s="53">
        <v>28109882770</v>
      </c>
      <c r="C10" s="53">
        <v>30298842359</v>
      </c>
      <c r="D10" s="174">
        <f t="shared" si="0"/>
        <v>7.7871530340786269E-2</v>
      </c>
      <c r="E10" s="16"/>
    </row>
    <row r="11" spans="1:12" ht="17" customHeight="1" x14ac:dyDescent="0.35">
      <c r="A11" s="16" t="s">
        <v>268</v>
      </c>
      <c r="B11" s="53">
        <v>10015472770</v>
      </c>
      <c r="C11" s="53">
        <v>10453197321</v>
      </c>
      <c r="D11" s="174">
        <f t="shared" si="0"/>
        <v>4.3704831619246667E-2</v>
      </c>
      <c r="E11" s="16"/>
    </row>
    <row r="12" spans="1:12" ht="17" customHeight="1" x14ac:dyDescent="0.35">
      <c r="A12" s="16" t="s">
        <v>75</v>
      </c>
      <c r="B12" s="53">
        <v>38081222783</v>
      </c>
      <c r="C12" s="53">
        <v>42705509793</v>
      </c>
      <c r="D12" s="174">
        <f t="shared" si="0"/>
        <v>0.12143220915858688</v>
      </c>
      <c r="E12" s="16"/>
    </row>
    <row r="13" spans="1:12" ht="17" customHeight="1" x14ac:dyDescent="0.35">
      <c r="A13" s="16" t="s">
        <v>77</v>
      </c>
      <c r="B13" s="53">
        <v>15727247715</v>
      </c>
      <c r="C13" s="53">
        <v>15796727876</v>
      </c>
      <c r="D13" s="174">
        <f t="shared" si="0"/>
        <v>4.41782073119715E-3</v>
      </c>
      <c r="E13" s="16"/>
    </row>
    <row r="14" spans="1:12" ht="17" customHeight="1" x14ac:dyDescent="0.35">
      <c r="A14" s="16" t="s">
        <v>167</v>
      </c>
      <c r="B14" s="53">
        <v>4172142818</v>
      </c>
      <c r="C14" s="53">
        <v>5404760810</v>
      </c>
      <c r="D14" s="174">
        <f t="shared" si="0"/>
        <v>0.29544002824689497</v>
      </c>
      <c r="E14" s="16" t="s">
        <v>229</v>
      </c>
    </row>
    <row r="15" spans="1:12" ht="17" customHeight="1" x14ac:dyDescent="0.35">
      <c r="A15" s="16" t="s">
        <v>168</v>
      </c>
      <c r="B15" s="53">
        <v>94595827</v>
      </c>
      <c r="C15" s="53">
        <v>82627045</v>
      </c>
      <c r="D15" s="174">
        <f t="shared" si="0"/>
        <v>-0.12652547558995389</v>
      </c>
      <c r="E15" s="16" t="s">
        <v>229</v>
      </c>
    </row>
    <row r="16" spans="1:12" ht="17" customHeight="1" x14ac:dyDescent="0.35">
      <c r="A16" s="16" t="s">
        <v>166</v>
      </c>
      <c r="B16" s="53">
        <v>48141746633</v>
      </c>
      <c r="C16" s="53">
        <v>51578861872</v>
      </c>
      <c r="D16" s="174">
        <f t="shared" si="0"/>
        <v>7.1395731966316753E-2</v>
      </c>
      <c r="E16" s="16" t="s">
        <v>76</v>
      </c>
    </row>
    <row r="17" spans="1:5" ht="17" customHeight="1" x14ac:dyDescent="0.35">
      <c r="A17" s="16" t="s">
        <v>78</v>
      </c>
      <c r="B17" s="53">
        <v>91154266</v>
      </c>
      <c r="C17" s="53">
        <v>77029156</v>
      </c>
      <c r="D17" s="174">
        <f t="shared" si="0"/>
        <v>-0.15495829893468727</v>
      </c>
      <c r="E17" s="16" t="s">
        <v>76</v>
      </c>
    </row>
    <row r="18" spans="1:5" ht="17" customHeight="1" x14ac:dyDescent="0.35">
      <c r="A18" s="16" t="s">
        <v>79</v>
      </c>
      <c r="B18" s="53">
        <v>26183119</v>
      </c>
      <c r="C18" s="53">
        <v>31107658</v>
      </c>
      <c r="D18" s="174">
        <f t="shared" si="0"/>
        <v>0.18808068664394031</v>
      </c>
      <c r="E18" s="16" t="s">
        <v>76</v>
      </c>
    </row>
    <row r="19" spans="1:5" ht="17" customHeight="1" x14ac:dyDescent="0.35">
      <c r="A19" s="16" t="s">
        <v>80</v>
      </c>
      <c r="B19" s="53">
        <v>69593437</v>
      </c>
      <c r="C19" s="53">
        <v>78307820</v>
      </c>
      <c r="D19" s="174">
        <f t="shared" si="0"/>
        <v>0.12521845989586633</v>
      </c>
      <c r="E19" s="16" t="s">
        <v>76</v>
      </c>
    </row>
    <row r="20" spans="1:5" ht="17" customHeight="1" x14ac:dyDescent="0.35">
      <c r="A20" s="16" t="s">
        <v>255</v>
      </c>
      <c r="B20" s="53">
        <v>2090899501</v>
      </c>
      <c r="C20" s="53">
        <v>2115276568</v>
      </c>
      <c r="D20" s="174">
        <f t="shared" si="0"/>
        <v>1.1658650733017703E-2</v>
      </c>
      <c r="E20" s="16" t="s">
        <v>76</v>
      </c>
    </row>
    <row r="21" spans="1:5" ht="17" customHeight="1" x14ac:dyDescent="0.35">
      <c r="A21" s="54" t="s">
        <v>81</v>
      </c>
      <c r="B21" s="46">
        <f>SUM(B8:B13)</f>
        <v>172334483501</v>
      </c>
      <c r="C21" s="46">
        <f>SUM(C8:C13)</f>
        <v>183044363657</v>
      </c>
      <c r="D21" s="175">
        <f t="shared" si="0"/>
        <v>6.2145891747416034E-2</v>
      </c>
      <c r="E21" s="16"/>
    </row>
    <row r="22" spans="1:5" ht="17" customHeight="1" x14ac:dyDescent="0.35">
      <c r="A22" s="54" t="s">
        <v>82</v>
      </c>
      <c r="B22" s="46">
        <f>B21-(B14+B15)</f>
        <v>168067744856</v>
      </c>
      <c r="C22" s="46">
        <f>C21-(C14+C15)</f>
        <v>177556975802</v>
      </c>
      <c r="D22" s="175">
        <f t="shared" si="0"/>
        <v>5.6460750122698133E-2</v>
      </c>
      <c r="E22" s="16"/>
    </row>
    <row r="23" spans="1:5" ht="17" customHeight="1" x14ac:dyDescent="0.35">
      <c r="A23" s="54" t="s">
        <v>83</v>
      </c>
      <c r="B23" s="46">
        <f>SUM(B16:B20)</f>
        <v>50419576956</v>
      </c>
      <c r="C23" s="46">
        <v>53880583074</v>
      </c>
      <c r="D23" s="175">
        <f t="shared" si="0"/>
        <v>6.8644092770162271E-2</v>
      </c>
      <c r="E23" s="16" t="s">
        <v>76</v>
      </c>
    </row>
    <row r="24" spans="1:5" ht="17" customHeight="1" x14ac:dyDescent="0.35">
      <c r="B24" s="27"/>
      <c r="C24" s="27"/>
    </row>
    <row r="26" spans="1:5" x14ac:dyDescent="0.35">
      <c r="A26" s="198" t="s">
        <v>71</v>
      </c>
      <c r="B26" s="198" t="s">
        <v>161</v>
      </c>
      <c r="C26" s="198"/>
      <c r="D26" s="67" t="s">
        <v>28</v>
      </c>
      <c r="E26" s="201" t="s">
        <v>29</v>
      </c>
    </row>
    <row r="27" spans="1:5" x14ac:dyDescent="0.35">
      <c r="A27" s="201"/>
      <c r="B27" s="125">
        <v>2022</v>
      </c>
      <c r="C27" s="125">
        <v>2023</v>
      </c>
      <c r="D27" s="125" t="s">
        <v>30</v>
      </c>
      <c r="E27" s="238"/>
    </row>
    <row r="28" spans="1:5" ht="17" customHeight="1" x14ac:dyDescent="0.35">
      <c r="A28" s="16" t="s">
        <v>72</v>
      </c>
      <c r="B28" s="53">
        <f>B8/(THCE_Statewide!$B$22+THCE_Statewide!$B$24+THCE_Statewide!$B$25)</f>
        <v>1941.9342042976236</v>
      </c>
      <c r="C28" s="53">
        <f>C8/(THCE_Statewide!$C$22+THCE_Statewide!$C$24+THCE_Statewide!$C$25)</f>
        <v>1985.7183327306582</v>
      </c>
      <c r="D28" s="174">
        <f t="shared" ref="D28:D43" si="1">IFERROR((C28-B28)/B28, "")</f>
        <v>2.2546659066067988E-2</v>
      </c>
      <c r="E28" s="16"/>
    </row>
    <row r="29" spans="1:5" ht="17" customHeight="1" x14ac:dyDescent="0.35">
      <c r="A29" s="16" t="s">
        <v>73</v>
      </c>
      <c r="B29" s="53">
        <f>B9/(THCE_Statewide!$B$22+THCE_Statewide!$B$24+THCE_Statewide!$B$25)</f>
        <v>1457.7826128691206</v>
      </c>
      <c r="C29" s="53">
        <f>C9/(THCE_Statewide!$C$22+THCE_Statewide!$C$24+THCE_Statewide!$C$25)</f>
        <v>1552.0152603289396</v>
      </c>
      <c r="D29" s="174">
        <f t="shared" si="1"/>
        <v>6.4641083401561425E-2</v>
      </c>
      <c r="E29" s="16"/>
    </row>
    <row r="30" spans="1:5" ht="17" customHeight="1" x14ac:dyDescent="0.35">
      <c r="A30" s="16" t="s">
        <v>74</v>
      </c>
      <c r="B30" s="53">
        <f>B10/(THCE_Statewide!$B$22+THCE_Statewide!$B$24+THCE_Statewide!$B$25)</f>
        <v>1188.6176580798926</v>
      </c>
      <c r="C30" s="53">
        <f>C10/(THCE_Statewide!$C$22+THCE_Statewide!$C$24+THCE_Statewide!$C$25)</f>
        <v>1279.2591244057155</v>
      </c>
      <c r="D30" s="174">
        <f t="shared" si="1"/>
        <v>7.6257883020387066E-2</v>
      </c>
      <c r="E30" s="16"/>
    </row>
    <row r="31" spans="1:5" ht="17" customHeight="1" x14ac:dyDescent="0.35">
      <c r="A31" s="16" t="s">
        <v>268</v>
      </c>
      <c r="B31" s="53">
        <f>B11/(THCE_Statewide!$B$22+THCE_Statewide!$B$24+THCE_Statewide!$B$25)</f>
        <v>423.50115387693364</v>
      </c>
      <c r="C31" s="53">
        <f>C11/(THCE_Statewide!$C$22+THCE_Statewide!$C$24+THCE_Statewide!$C$25)</f>
        <v>441.3484810296884</v>
      </c>
      <c r="D31" s="174">
        <f t="shared" si="1"/>
        <v>4.2142334181080085E-2</v>
      </c>
      <c r="E31" s="16"/>
    </row>
    <row r="32" spans="1:5" ht="17" customHeight="1" x14ac:dyDescent="0.35">
      <c r="A32" s="16" t="s">
        <v>75</v>
      </c>
      <c r="B32" s="53">
        <f>B12/(THCE_Statewide!$B$22+THCE_Statewide!$B$24+THCE_Statewide!$B$25)</f>
        <v>1610.25267204087</v>
      </c>
      <c r="C32" s="53">
        <f>C12/(THCE_Statewide!$C$22+THCE_Statewide!$C$24+THCE_Statewide!$C$25)</f>
        <v>1803.0858214906391</v>
      </c>
      <c r="D32" s="174">
        <f>IFERROR((C32-B32)/B32, "")</f>
        <v>0.11975334852596023</v>
      </c>
      <c r="E32" s="16"/>
    </row>
    <row r="33" spans="1:5" ht="17" customHeight="1" x14ac:dyDescent="0.35">
      <c r="A33" s="16" t="s">
        <v>77</v>
      </c>
      <c r="B33" s="53">
        <f>B13/(THCE_Statewide!$B$22+THCE_Statewide!$B$24+THCE_Statewide!$B$25)</f>
        <v>665.02178255244439</v>
      </c>
      <c r="C33" s="53">
        <f>C13/(THCE_Statewide!$C$22+THCE_Statewide!$C$24+THCE_Statewide!$C$25)</f>
        <v>666.95974822036328</v>
      </c>
      <c r="D33" s="174">
        <f t="shared" si="1"/>
        <v>2.9141386323929294E-3</v>
      </c>
      <c r="E33" s="16"/>
    </row>
    <row r="34" spans="1:5" ht="17" customHeight="1" x14ac:dyDescent="0.35">
      <c r="A34" s="16" t="s">
        <v>167</v>
      </c>
      <c r="B34" s="53">
        <f>B14/(THCE_Statewide!$B$22+THCE_Statewide!$B$24+THCE_Statewide!$B$25)</f>
        <v>176.4177626097586</v>
      </c>
      <c r="C34" s="53">
        <f>C14/(THCE_Statewide!$C$22+THCE_Statewide!$C$24+THCE_Statewide!$C$25)</f>
        <v>228.19649343365614</v>
      </c>
      <c r="D34" s="174">
        <f t="shared" si="1"/>
        <v>0.29350066602099278</v>
      </c>
      <c r="E34" s="16"/>
    </row>
    <row r="35" spans="1:5" ht="17" customHeight="1" x14ac:dyDescent="0.35">
      <c r="A35" s="16" t="s">
        <v>168</v>
      </c>
      <c r="B35" s="53">
        <f>B15/(THCE_Statewide!$B$22+THCE_Statewide!$B$24+THCE_Statewide!$B$25)</f>
        <v>3.9999551500395913</v>
      </c>
      <c r="C35" s="53">
        <f>C15/(THCE_Statewide!$C$22+THCE_Statewide!$C$24+THCE_Statewide!$C$25)</f>
        <v>3.4886283768374402</v>
      </c>
      <c r="D35" s="174">
        <f t="shared" si="1"/>
        <v>-0.12783312662820484</v>
      </c>
      <c r="E35" s="16"/>
    </row>
    <row r="36" spans="1:5" ht="17" customHeight="1" x14ac:dyDescent="0.35">
      <c r="A36" s="16" t="s">
        <v>166</v>
      </c>
      <c r="B36" s="53">
        <f>B16/(THCE_Statewide!$B$22+THCE_Statewide!$B$24+THCE_Statewide!$B$25-THCE_Mcare!$C$16)</f>
        <v>2379.4105143434704</v>
      </c>
      <c r="C36" s="53">
        <f>C16/(THCE_Statewide!$C$22+THCE_Statewide!$C$24+THCE_Statewide!$C$25-THCE_Mcare!$D$16)</f>
        <v>2542.8832920721943</v>
      </c>
      <c r="D36" s="174">
        <f t="shared" si="1"/>
        <v>6.8703057645279647E-2</v>
      </c>
      <c r="E36" s="16" t="s">
        <v>228</v>
      </c>
    </row>
    <row r="37" spans="1:5" ht="17" customHeight="1" x14ac:dyDescent="0.35">
      <c r="A37" s="16" t="s">
        <v>78</v>
      </c>
      <c r="B37" s="53">
        <f>B17/(THCE_Statewide!$B$22+THCE_Statewide!$B$24+THCE_Statewide!$B$25-THCE_Mcare!$C$16)</f>
        <v>4.5053084716911025</v>
      </c>
      <c r="C37" s="53">
        <f>C17/(THCE_Statewide!$C$22+THCE_Statewide!$C$24+THCE_Statewide!$C$25-THCE_Mcare!$D$16)</f>
        <v>3.797605194952073</v>
      </c>
      <c r="D37" s="174">
        <f t="shared" si="1"/>
        <v>-0.15708209131202674</v>
      </c>
      <c r="E37" s="16" t="s">
        <v>228</v>
      </c>
    </row>
    <row r="38" spans="1:5" ht="17" customHeight="1" x14ac:dyDescent="0.35">
      <c r="A38" s="16" t="s">
        <v>79</v>
      </c>
      <c r="B38" s="53">
        <f>B18/(THCE_Statewide!$B$22+THCE_Statewide!$B$24+THCE_Statewide!$B$25-THCE_Mcare!$C$16)</f>
        <v>1.2941032057237591</v>
      </c>
      <c r="C38" s="53">
        <f>C18/(THCE_Statewide!$C$22+THCE_Statewide!$C$24+THCE_Statewide!$C$25-THCE_Mcare!$D$16)</f>
        <v>1.5336349216080261</v>
      </c>
      <c r="D38" s="174">
        <f t="shared" si="1"/>
        <v>0.18509475505881534</v>
      </c>
      <c r="E38" s="16" t="s">
        <v>228</v>
      </c>
    </row>
    <row r="39" spans="1:5" ht="17" customHeight="1" x14ac:dyDescent="0.35">
      <c r="A39" s="16" t="s">
        <v>80</v>
      </c>
      <c r="B39" s="53">
        <f>B19/(THCE_Statewide!$B$22+THCE_Statewide!$B$24+THCE_Statewide!$B$25-THCE_Mcare!$C$16)</f>
        <v>3.4396623992364881</v>
      </c>
      <c r="C39" s="53">
        <f>C19/(THCE_Statewide!$C$22+THCE_Statewide!$C$24+THCE_Statewide!$C$25-THCE_Mcare!$D$16)</f>
        <v>3.8606444556834019</v>
      </c>
      <c r="D39" s="174">
        <f>IFERROR((C39-B39)/B39, "")</f>
        <v>0.12239051615657409</v>
      </c>
      <c r="E39" s="16" t="s">
        <v>228</v>
      </c>
    </row>
    <row r="40" spans="1:5" ht="17" customHeight="1" x14ac:dyDescent="0.35">
      <c r="A40" s="16" t="s">
        <v>255</v>
      </c>
      <c r="B40" s="53">
        <f>B20/(THCE_Statewide!$B$22+THCE_Statewide!$B$24+THCE_Statewide!$B$25-THCE_Mcare!$C$16)</f>
        <v>103.34291140372957</v>
      </c>
      <c r="C40" s="53">
        <f>C20/(THCE_Statewide!$C$22+THCE_Statewide!$C$24+THCE_Statewide!$C$25-THCE_Mcare!$D$16)</f>
        <v>104.28499675366029</v>
      </c>
      <c r="D40" s="192">
        <f t="shared" si="1"/>
        <v>9.1161100179409319E-3</v>
      </c>
      <c r="E40" s="16" t="s">
        <v>228</v>
      </c>
    </row>
    <row r="41" spans="1:5" ht="17" customHeight="1" x14ac:dyDescent="0.35">
      <c r="A41" s="54" t="s">
        <v>81</v>
      </c>
      <c r="B41" s="46">
        <f>B21/(THCE_Statewide!$B$22+THCE_Statewide!$B$24+THCE_Statewide!$B$25)</f>
        <v>7287.1100837168851</v>
      </c>
      <c r="C41" s="46">
        <f>C21/(THCE_Statewide!$C$22+THCE_Statewide!$C$24+THCE_Statewide!$C$25)</f>
        <v>7728.3867682060045</v>
      </c>
      <c r="D41" s="175">
        <f t="shared" si="1"/>
        <v>6.0555786782356451E-2</v>
      </c>
      <c r="E41" s="16"/>
    </row>
    <row r="42" spans="1:5" ht="17" customHeight="1" x14ac:dyDescent="0.35">
      <c r="A42" s="54" t="s">
        <v>82</v>
      </c>
      <c r="B42" s="46">
        <f>B22/(THCE_Statewide!$B$22+THCE_Statewide!$B$24+THCE_Statewide!$B$25)</f>
        <v>7106.6923659570866</v>
      </c>
      <c r="C42" s="46">
        <f>C22/(THCE_Statewide!$C$22+THCE_Statewide!$C$24+THCE_Statewide!$C$25)</f>
        <v>7496.7016463955106</v>
      </c>
      <c r="D42" s="175">
        <f t="shared" si="1"/>
        <v>5.4879156203055911E-2</v>
      </c>
      <c r="E42" s="16"/>
    </row>
    <row r="43" spans="1:5" ht="17" customHeight="1" x14ac:dyDescent="0.35">
      <c r="A43" s="54" t="s">
        <v>83</v>
      </c>
      <c r="B43" s="46">
        <f>B23/(THCE_Statewide!$B$22+THCE_Statewide!$B$24+THCE_Statewide!$B$25-THCE_Mcare!$C$16)</f>
        <v>2491.9924998238512</v>
      </c>
      <c r="C43" s="46">
        <f>C23/(THCE_Statewide!$C$22+THCE_Statewide!$C$24+THCE_Statewide!$C$25-THCE_Mcare!$D$16)</f>
        <v>2656.3601733980981</v>
      </c>
      <c r="D43" s="175">
        <f t="shared" si="1"/>
        <v>6.595833397807796E-2</v>
      </c>
      <c r="E43" s="16" t="s">
        <v>228</v>
      </c>
    </row>
    <row r="44" spans="1:5" x14ac:dyDescent="0.35">
      <c r="B44" s="27"/>
      <c r="C44" s="27"/>
      <c r="D44"/>
    </row>
    <row r="45" spans="1:5" customFormat="1" ht="14" x14ac:dyDescent="0.3"/>
    <row r="46" spans="1:5" customFormat="1" ht="14" x14ac:dyDescent="0.3"/>
    <row r="47" spans="1:5" customFormat="1" ht="14" x14ac:dyDescent="0.3"/>
    <row r="48" spans="1:5" customFormat="1" ht="14" x14ac:dyDescent="0.3"/>
    <row r="49" customFormat="1" ht="14" x14ac:dyDescent="0.3"/>
    <row r="50" customFormat="1" ht="14" x14ac:dyDescent="0.3"/>
    <row r="51" customFormat="1" ht="14" x14ac:dyDescent="0.3"/>
  </sheetData>
  <sheetProtection algorithmName="SHA-512" hashValue="7EgWIa6vDxctfvsLtQg71ORbqHjdKIglsh9Dl/LYC0BX9YVhSk9cPxIdZlXV8l4M5sHlcZlznE3zd3i2U2aKig==" saltValue="TyF8xeqlJN2XejtBAbTvfQ==" spinCount="100000" sheet="1" objects="1" scenarios="1"/>
  <mergeCells count="6">
    <mergeCell ref="A6:A7"/>
    <mergeCell ref="B6:C6"/>
    <mergeCell ref="E6:E7"/>
    <mergeCell ref="A26:A27"/>
    <mergeCell ref="B26:C26"/>
    <mergeCell ref="E26:E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7808F2CEFDDC45AB86FCA64B475ED8" ma:contentTypeVersion="19" ma:contentTypeDescription="Create a new document." ma:contentTypeScope="" ma:versionID="0f4384adf8dace3b094afda5123335fb">
  <xsd:schema xmlns:xsd="http://www.w3.org/2001/XMLSchema" xmlns:xs="http://www.w3.org/2001/XMLSchema" xmlns:p="http://schemas.microsoft.com/office/2006/metadata/properties" xmlns:ns1="http://schemas.microsoft.com/sharepoint/v3" xmlns:ns2="79c8b6b7-67d3-469e-8c7c-8f975dd6724a" xmlns:ns3="f89f66ea-f74e-4a2e-9d4f-6292740726e1" targetNamespace="http://schemas.microsoft.com/office/2006/metadata/properties" ma:root="true" ma:fieldsID="dfd051e71a1828871f3c2bf51f8497b8" ns1:_="" ns2:_="" ns3:_="">
    <xsd:import namespace="http://schemas.microsoft.com/sharepoint/v3"/>
    <xsd:import namespace="79c8b6b7-67d3-469e-8c7c-8f975dd6724a"/>
    <xsd:import namespace="f89f66ea-f74e-4a2e-9d4f-6292740726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FolderA" minOccurs="0"/>
                <xsd:element ref="ns2:MediaServiceSearchProperties" minOccurs="0"/>
                <xsd:element ref="ns1:_ip_UnifiedCompliancePolicyProperties" minOccurs="0"/>
                <xsd:element ref="ns1:_ip_UnifiedCompliancePolicyUIActio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c8b6b7-67d3-469e-8c7c-8f975dd67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FolderA" ma:index="21" nillable="true" ma:displayName="Description " ma:format="Dropdown" ma:internalName="FolderA">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9f66ea-f74e-4a2e-9d4f-629274072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2edaf4-30d0-421a-bbe9-82da1e0e617e}" ma:internalName="TaxCatchAll" ma:showField="CatchAllData" ma:web="f89f66ea-f74e-4a2e-9d4f-6292740726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89f66ea-f74e-4a2e-9d4f-6292740726e1" xsi:nil="true"/>
    <lcf76f155ced4ddcb4097134ff3c332f xmlns="79c8b6b7-67d3-469e-8c7c-8f975dd6724a">
      <Terms xmlns="http://schemas.microsoft.com/office/infopath/2007/PartnerControls"/>
    </lcf76f155ced4ddcb4097134ff3c332f>
    <FolderA xmlns="79c8b6b7-67d3-469e-8c7c-8f975dd6724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0274CAF-5134-4AE8-A448-961E14A5A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c8b6b7-67d3-469e-8c7c-8f975dd6724a"/>
    <ds:schemaRef ds:uri="f89f66ea-f74e-4a2e-9d4f-629274072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8EC9E5-E392-4644-9507-0E43EF5C699D}">
  <ds:schemaRefs>
    <ds:schemaRef ds:uri="http://schemas.microsoft.com/sharepoint/v3/contenttype/forms"/>
  </ds:schemaRefs>
</ds:datastoreItem>
</file>

<file path=customXml/itemProps3.xml><?xml version="1.0" encoding="utf-8"?>
<ds:datastoreItem xmlns:ds="http://schemas.openxmlformats.org/officeDocument/2006/customXml" ds:itemID="{24317F14-1FF6-4FD3-A30C-E6E7AE6A5680}">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f89f66ea-f74e-4a2e-9d4f-6292740726e1"/>
    <ds:schemaRef ds:uri="79c8b6b7-67d3-469e-8c7c-8f975dd6724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Notes</vt:lpstr>
      <vt:lpstr>THCE_Statewide</vt:lpstr>
      <vt:lpstr>THCE_Comm</vt:lpstr>
      <vt:lpstr>THCE_MCal</vt:lpstr>
      <vt:lpstr>THCE_Mcare</vt:lpstr>
      <vt:lpstr>THCE_ACP</vt:lpstr>
      <vt:lpstr>THCE_Other</vt:lpstr>
      <vt:lpstr>TME_StatewideServCat</vt:lpstr>
      <vt:lpstr>TME_Comm_ServCat</vt:lpstr>
      <vt:lpstr>TME_Mcare_ServCat</vt:lpstr>
      <vt:lpstr>TME_Region</vt:lpstr>
      <vt:lpstr>TME_Submitter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2019-10-04T13:40:41Z</dcterms:created>
  <dcterms:modified xsi:type="dcterms:W3CDTF">2025-06-12T19:29:24Z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0x010100797808F2CEFDDC45AB86FCA64B475ED8</vt:lpwstr>
  </property>
  <property fmtid="{D5CDD505-2E9C-101B-9397-08002B2CF9AE}" pid="3" name="MediaServiceImageTags">
    <vt:lpwstr/>
  </property>
</Properties>
</file>